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<sst xmlns="http://schemas.openxmlformats.org/spreadsheetml/2006/main" count="942" uniqueCount="844">
  <si>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</si>
  <si>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</si>
  <si>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</si>
  <si>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</si>
  <si>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</si>
  <si>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</si>
  <si>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</si>
  <si>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</si>
  <si>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</si>
  <si>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</si>
  <si>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</si>
  <si>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</si>
  <si>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</si>
  <si>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</si>
  <si>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</si>
  <si>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</si>
  <si>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</si>
  <si>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</si>
  <si>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</si>
  <si>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</si>
  <si>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</si>
  <si>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</si>
  <si>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</si>
  <si>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</si>
  <si>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</si>
  <si>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</si>
  <si>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</si>
  <si>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</si>
  <si>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</si>
  <si>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</si>
  <si>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</si>
  <si>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</si>
  <si>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</si>
  <si>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</si>
  <si>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</si>
  <si>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</si>
  <si>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</si>
  <si>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</si>
  <si>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</si>
  <si>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</si>
  <si>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</si>
  <si>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</si>
  <si>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</si>
  <si>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</si>
  <si>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</si>
  <si>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</si>
  <si>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</si>
  <si>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</si>
  <si>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</si>
  <si>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</si>
  <si>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</si>
  <si>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</si>
  <si>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</si>
  <si>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</si>
  <si>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</si>
  <si>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</si>
  <si>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</si>
  <si>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</si>
  <si>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</si>
  <si>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</si>
  <si>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</si>
  <si>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</si>
  <si>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</si>
  <si>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</si>
  <si>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</si>
  <si>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</si>
  <si>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</si>
  <si>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</si>
  <si>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</si>
  <si>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</si>
  <si>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</si>
  <si>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</si>
  <si>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Розроблення детального плану території парку в межах вул. Олексія Панченка, Менделєєва та Санаторна в місті Черкаси</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</si>
  <si>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</si>
  <si>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</si>
  <si>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</si>
  <si>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</si>
  <si>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</si>
  <si>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</si>
  <si>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</si>
  <si>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</si>
  <si>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</si>
  <si>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</si>
  <si>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</si>
  <si>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</si>
  <si>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</si>
  <si>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</si>
  <si>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</si>
  <si>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</si>
  <si>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</si>
  <si>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</si>
  <si>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</si>
  <si>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</si>
  <si>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</si>
  <si>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</si>
  <si>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</si>
  <si>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</si>
  <si>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</si>
  <si>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</si>
  <si>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</si>
  <si>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</si>
  <si>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</si>
  <si>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</si>
  <si>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</si>
  <si>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</si>
  <si>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</si>
  <si>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</si>
  <si>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</si>
  <si>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</si>
  <si>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</si>
  <si>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</si>
  <si>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</si>
  <si>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</si>
  <si>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</si>
  <si>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</si>
  <si>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</si>
  <si>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</si>
  <si>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</si>
  <si>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</si>
  <si>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</si>
  <si>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</si>
  <si>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</si>
  <si>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</si>
  <si>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</si>
  <si>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</si>
  <si>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</si>
  <si>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</si>
  <si>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</si>
  <si>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</si>
  <si>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</si>
  <si>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</si>
  <si>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</si>
  <si>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</si>
  <si>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</si>
  <si>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</si>
  <si>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</si>
  <si>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</si>
  <si>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</si>
  <si>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</si>
  <si>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</si>
  <si>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</si>
  <si>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</si>
  <si>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</si>
  <si>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</si>
  <si>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</si>
  <si>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</si>
  <si>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</si>
  <si>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</si>
  <si>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</si>
  <si>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</si>
  <si>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</si>
  <si>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</si>
  <si>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</si>
  <si>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</si>
  <si>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</si>
  <si>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</si>
  <si>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</si>
  <si>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</si>
  <si>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</si>
  <si>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</si>
  <si>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</si>
  <si>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</si>
  <si>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</si>
  <si>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</si>
  <si>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</si>
  <si>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</si>
  <si>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</si>
  <si>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</si>
  <si>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</si>
  <si>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</si>
  <si>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</si>
  <si>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</si>
  <si>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</si>
  <si>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</si>
  <si>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</si>
  <si>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</si>
  <si>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</si>
  <si>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</si>
  <si>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</si>
  <si>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</si>
  <si>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</si>
  <si>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</si>
  <si>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</si>
  <si>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</si>
  <si>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</si>
  <si>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</si>
  <si>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</si>
  <si>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</si>
  <si>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</si>
  <si>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</si>
  <si>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</si>
  <si>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</si>
  <si>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</si>
  <si>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</si>
  <si>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</si>
  <si>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</si>
  <si>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</si>
  <si>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</si>
  <si>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</si>
  <si>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</si>
  <si>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</si>
  <si>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</si>
  <si>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</si>
  <si>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</si>
  <si>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</si>
  <si>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</si>
  <si>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</si>
  <si>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</si>
  <si>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</si>
  <si>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</si>
  <si>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</si>
  <si>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</si>
  <si>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</si>
  <si>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</si>
  <si>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</si>
  <si>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</si>
  <si>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</si>
  <si>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</si>
  <si>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</si>
  <si>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</si>
  <si>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</si>
  <si>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</si>
  <si>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</si>
  <si>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</si>
  <si>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</si>
  <si>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</si>
  <si>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</si>
  <si>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</si>
  <si>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</si>
  <si>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</si>
  <si>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</si>
  <si>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</si>
  <si>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</si>
  <si>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</si>
  <si>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</si>
  <si>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</si>
  <si>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</si>
  <si>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</si>
  <si>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</si>
  <si>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</si>
  <si>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</si>
  <si>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</si>
  <si>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</si>
  <si>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</si>
  <si>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</si>
  <si>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</si>
  <si>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</si>
  <si>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</si>
  <si>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</si>
  <si>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</si>
  <si>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</si>
  <si>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</si>
  <si>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</si>
  <si>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</si>
  <si>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</si>
  <si>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</si>
  <si>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</si>
  <si>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</si>
  <si>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</si>
  <si>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</si>
  <si>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</si>
  <si>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</si>
  <si>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</si>
  <si>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</si>
  <si>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</si>
  <si>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</si>
  <si>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</si>
  <si>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</si>
  <si>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</si>
  <si>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</si>
  <si>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</si>
  <si>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</si>
  <si>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</si>
  <si>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</si>
  <si>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</si>
  <si>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</si>
  <si>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</si>
  <si>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</si>
  <si>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</si>
  <si>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</si>
  <si>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</si>
  <si>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</si>
  <si>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</si>
  <si>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</si>
  <si>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</si>
  <si>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</si>
  <si>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</si>
  <si>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</si>
  <si>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</si>
  <si>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</si>
  <si>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</si>
  <si>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</si>
  <si>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</si>
  <si>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</si>
  <si>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</si>
  <si>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</si>
  <si>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</si>
  <si>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</si>
  <si>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</si>
  <si>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</si>
  <si>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</si>
  <si>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</si>
  <si>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</si>
  <si>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</si>
  <si>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</si>
  <si>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</si>
  <si>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</si>
  <si>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</si>
  <si>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</si>
  <si>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</si>
  <si>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</si>
  <si>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</si>
  <si>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</si>
  <si>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</si>
  <si>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</si>
  <si>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</si>
  <si>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</si>
  <si>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</si>
  <si>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</si>
  <si>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</si>
  <si>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</si>
  <si>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</si>
  <si>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</si>
  <si>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</si>
  <si>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</si>
  <si>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</si>
  <si>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</si>
  <si>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</si>
  <si>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</si>
  <si>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</si>
  <si>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</si>
  <si>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</si>
  <si>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</si>
  <si>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</si>
  <si>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</si>
  <si>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</si>
  <si>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</si>
  <si>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</si>
  <si>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</si>
  <si>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</si>
  <si>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</si>
  <si>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</si>
  <si>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</si>
  <si>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</si>
  <si>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</si>
  <si>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</si>
  <si>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</si>
  <si>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</si>
  <si>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</si>
  <si>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</si>
  <si>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</si>
  <si>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</si>
  <si>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</si>
  <si>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</si>
  <si>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</si>
  <si>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</si>
  <si>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</si>
  <si>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</si>
  <si>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</si>
  <si>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</si>
  <si>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</si>
  <si>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</si>
  <si>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</si>
  <si>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</si>
  <si>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</si>
  <si>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</si>
  <si>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</si>
  <si>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</si>
  <si>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</si>
  <si>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</si>
  <si>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</si>
  <si>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</si>
  <si>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</si>
  <si>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</si>
  <si>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</si>
  <si>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</si>
  <si>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</si>
  <si>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</si>
  <si>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</si>
  <si>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</si>
  <si>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</si>
  <si>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</si>
  <si>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</si>
  <si>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</si>
  <si>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</si>
  <si>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</si>
  <si>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</si>
  <si>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</si>
  <si>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</si>
  <si>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</si>
  <si>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</si>
  <si>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</si>
  <si>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</si>
  <si>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</si>
  <si>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</si>
  <si>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</si>
  <si>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</si>
  <si>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</si>
  <si>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</si>
  <si>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</si>
  <si>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</si>
  <si>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</si>
  <si>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</si>
  <si>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</si>
  <si>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</si>
  <si>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</si>
  <si>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</si>
  <si>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</si>
  <si>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</si>
  <si>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</si>
  <si>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</si>
  <si>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</si>
  <si>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</si>
  <si>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</si>
  <si>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</si>
  <si>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</si>
  <si>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</si>
  <si>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</si>
  <si>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</si>
  <si>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</si>
  <si>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</si>
  <si>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</si>
  <si>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</si>
  <si>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</si>
  <si>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</si>
  <si>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</si>
  <si>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</si>
  <si>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</si>
  <si>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</si>
  <si>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</si>
  <si>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</si>
  <si>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</si>
  <si>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</si>
  <si>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</si>
  <si>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</si>
  <si>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</si>
  <si>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</si>
  <si>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</si>
  <si>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</si>
  <si>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</si>
  <si>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</si>
  <si>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</si>
  <si>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</si>
  <si>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</si>
  <si>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</si>
  <si>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</si>
  <si>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</si>
  <si>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</si>
  <si>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</si>
  <si>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</si>
  <si>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</si>
  <si>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</si>
  <si>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</si>
  <si>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</si>
  <si>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</si>
  <si>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</si>
  <si>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</si>
  <si>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</si>
  <si>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</si>
  <si>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</si>
  <si>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</si>
  <si>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</si>
  <si>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</si>
  <si>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</si>
  <si>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</si>
  <si>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</si>
  <si>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</si>
  <si>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</si>
  <si>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</si>
  <si>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</si>
  <si>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</si>
  <si>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</si>
  <si>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</si>
  <si>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</si>
  <si>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</si>
  <si>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</si>
  <si>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</si>
  <si>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</si>
  <si>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</si>
  <si>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</si>
  <si>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</si>
  <si>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</si>
  <si>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</si>
  <si>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</si>
  <si>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</si>
  <si>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</si>
  <si>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</si>
  <si>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</si>
  <si>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</si>
  <si>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</si>
  <si>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</si>
  <si>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</si>
  <si>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</si>
  <si>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</si>
  <si>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</si>
  <si>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</si>
  <si>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</si>
  <si>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</si>
  <si>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</si>
  <si>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</si>
  <si>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</si>
  <si>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</si>
  <si>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</si>
  <si>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</si>
  <si>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</si>
  <si>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</si>
  <si>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</si>
  <si>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</si>
  <si>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</si>
  <si>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</si>
  <si>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</si>
  <si>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</si>
  <si>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</si>
  <si>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</si>
  <si>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</si>
  <si>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</si>
  <si>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</si>
  <si>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</si>
  <si>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</si>
  <si>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</si>
  <si>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</si>
  <si>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</si>
  <si>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</si>
  <si>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</si>
  <si>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</si>
  <si>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</si>
  <si>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</si>
  <si>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</si>
  <si>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</si>
  <si>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</si>
  <si>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</si>
  <si>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</si>
  <si>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</si>
  <si>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</si>
  <si>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</si>
  <si>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</si>
  <si>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</si>
  <si>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</si>
  <si>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</si>
  <si>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</si>
  <si>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</si>
  <si>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</si>
  <si>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</si>
  <si>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</si>
  <si>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</si>
  <si>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</si>
  <si>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</si>
  <si>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</si>
  <si>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3131-2510393,23
3210-235241,77</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</si>
  <si>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</si>
  <si>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</si>
  <si>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</si>
  <si>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</si>
  <si>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</si>
  <si>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</si>
  <si>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</si>
  <si>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</si>
  <si>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</si>
  <si>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</si>
  <si>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</si>
  <si>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</si>
  <si>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</si>
  <si>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</si>
  <si>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</si>
  <si>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</si>
  <si>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</si>
  <si>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</si>
  <si>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</si>
  <si>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</si>
  <si>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</si>
  <si>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</si>
  <si>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</si>
  <si>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</si>
  <si>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</si>
  <si>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</si>
  <si>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</si>
  <si>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</si>
  <si>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</si>
  <si>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</si>
  <si>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</si>
  <si>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</si>
  <si>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</si>
  <si>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</si>
  <si>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</si>
  <si>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</si>
  <si>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</si>
  <si>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</si>
  <si>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</si>
  <si>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</si>
  <si>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</si>
  <si>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</si>
  <si>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</si>
  <si>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</si>
  <si>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</si>
  <si>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</si>
  <si>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</si>
  <si>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</si>
  <si>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</si>
  <si>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</si>
  <si>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</si>
  <si>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</si>
  <si>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</si>
  <si>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</si>
  <si>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Профінансовано станом на 29.08.2016</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</si>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</sst>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4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7" xfId="0" applyNumberFormat="1" applyFont="1" applyFill="1" applyBorder="1" applyAlignment="1">
      <alignment horizontal="center" vertical="top" wrapText="1"/>
    </xf>
    <xf numFmtId="4" fontId="27" fillId="4" borderId="22" xfId="82"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49" fontId="4" fillId="0" borderId="22"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188" fontId="23" fillId="0" borderId="21" xfId="0" applyNumberFormat="1" applyFont="1" applyFill="1" applyBorder="1" applyAlignment="1" applyProtection="1">
      <alignment horizontal="left" vertical="top" wrapText="1"/>
      <protection/>
    </xf>
    <xf numFmtId="188" fontId="23" fillId="0" borderId="22"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49" fontId="4" fillId="0" borderId="24"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4"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6"/>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25" width="17.5" style="4" hidden="1" customWidth="1"/>
    <col min="26" max="29" width="18.83203125" style="4" hidden="1" customWidth="1"/>
    <col min="30" max="30" width="19" style="4" hidden="1" customWidth="1"/>
    <col min="31" max="34" width="17.66015625" style="4" hidden="1" customWidth="1"/>
    <col min="35" max="35" width="22.16015625" style="4" customWidth="1"/>
    <col min="36" max="16384" width="8" style="4" customWidth="1"/>
  </cols>
  <sheetData>
    <row r="1" spans="2:35" ht="52.5" customHeight="1">
      <c r="B1" s="317" t="s">
        <v>142</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676</v>
      </c>
    </row>
    <row r="3" spans="1:35" ht="93" customHeight="1">
      <c r="A3" s="12"/>
      <c r="B3" s="1" t="s">
        <v>153</v>
      </c>
      <c r="C3" s="1" t="s">
        <v>677</v>
      </c>
      <c r="D3" s="294" t="s">
        <v>139</v>
      </c>
      <c r="E3" s="305" t="s">
        <v>141</v>
      </c>
      <c r="F3" s="301" t="s">
        <v>591</v>
      </c>
      <c r="G3" s="303" t="s">
        <v>675</v>
      </c>
      <c r="H3" s="299" t="s">
        <v>531</v>
      </c>
      <c r="I3" s="299" t="s">
        <v>506</v>
      </c>
      <c r="J3" s="299" t="s">
        <v>637</v>
      </c>
      <c r="K3" s="295" t="s">
        <v>360</v>
      </c>
      <c r="L3" s="295" t="s">
        <v>361</v>
      </c>
      <c r="M3" s="312" t="s">
        <v>656</v>
      </c>
      <c r="N3" s="308" t="s">
        <v>16</v>
      </c>
      <c r="O3" s="314" t="s">
        <v>17</v>
      </c>
      <c r="P3" s="315"/>
      <c r="Q3" s="315"/>
      <c r="R3" s="315"/>
      <c r="S3" s="315"/>
      <c r="T3" s="315"/>
      <c r="U3" s="316"/>
      <c r="V3" s="293" t="s">
        <v>195</v>
      </c>
      <c r="W3" s="297" t="s">
        <v>18</v>
      </c>
      <c r="X3" s="293" t="s">
        <v>19</v>
      </c>
      <c r="Y3" s="293" t="s">
        <v>20</v>
      </c>
      <c r="Z3" s="293" t="s">
        <v>21</v>
      </c>
      <c r="AA3" s="293" t="s">
        <v>29</v>
      </c>
      <c r="AB3" s="293" t="s">
        <v>22</v>
      </c>
      <c r="AC3" s="293" t="s">
        <v>23</v>
      </c>
      <c r="AD3" s="293" t="s">
        <v>24</v>
      </c>
      <c r="AE3" s="293" t="s">
        <v>25</v>
      </c>
      <c r="AF3" s="293" t="s">
        <v>26</v>
      </c>
      <c r="AG3" s="293" t="s">
        <v>27</v>
      </c>
      <c r="AH3" s="293" t="s">
        <v>28</v>
      </c>
      <c r="AI3" s="293" t="s">
        <v>603</v>
      </c>
    </row>
    <row r="4" spans="1:35" ht="63">
      <c r="A4" s="12"/>
      <c r="B4" s="1"/>
      <c r="C4" s="33"/>
      <c r="D4" s="294"/>
      <c r="E4" s="305"/>
      <c r="F4" s="302"/>
      <c r="G4" s="304"/>
      <c r="H4" s="300"/>
      <c r="I4" s="300"/>
      <c r="J4" s="300"/>
      <c r="K4" s="296"/>
      <c r="L4" s="296"/>
      <c r="M4" s="313"/>
      <c r="N4" s="309"/>
      <c r="O4" s="34" t="s">
        <v>123</v>
      </c>
      <c r="P4" s="34" t="s">
        <v>126</v>
      </c>
      <c r="Q4" s="34" t="s">
        <v>204</v>
      </c>
      <c r="R4" s="34" t="s">
        <v>757</v>
      </c>
      <c r="S4" s="34" t="s">
        <v>216</v>
      </c>
      <c r="T4" s="34" t="s">
        <v>79</v>
      </c>
      <c r="U4" s="34"/>
      <c r="V4" s="293"/>
      <c r="W4" s="298"/>
      <c r="X4" s="293"/>
      <c r="Y4" s="293"/>
      <c r="Z4" s="293"/>
      <c r="AA4" s="293"/>
      <c r="AB4" s="293"/>
      <c r="AC4" s="293"/>
      <c r="AD4" s="293"/>
      <c r="AE4" s="293"/>
      <c r="AF4" s="293"/>
      <c r="AG4" s="293"/>
      <c r="AH4" s="293"/>
      <c r="AI4" s="293"/>
    </row>
    <row r="5" spans="1:35" s="14" customFormat="1" ht="56.25">
      <c r="A5" s="13"/>
      <c r="B5" s="26" t="s">
        <v>183</v>
      </c>
      <c r="C5" s="8"/>
      <c r="D5" s="77"/>
      <c r="E5" s="78"/>
      <c r="F5" s="79" t="s">
        <v>159</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1665927.01</v>
      </c>
    </row>
    <row r="6" spans="1:35" s="14" customFormat="1" ht="18.75">
      <c r="A6" s="13"/>
      <c r="B6" s="26"/>
      <c r="C6" s="26"/>
      <c r="D6" s="310" t="s">
        <v>219</v>
      </c>
      <c r="E6" s="310" t="s">
        <v>140</v>
      </c>
      <c r="F6" s="306" t="s">
        <v>220</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608653.11</v>
      </c>
    </row>
    <row r="7" spans="1:35" s="14" customFormat="1" ht="75">
      <c r="A7" s="13"/>
      <c r="B7" s="39"/>
      <c r="C7" s="39"/>
      <c r="D7" s="311"/>
      <c r="E7" s="311"/>
      <c r="F7" s="307"/>
      <c r="G7" s="90" t="s">
        <v>491</v>
      </c>
      <c r="H7" s="88"/>
      <c r="I7" s="91"/>
      <c r="J7" s="92"/>
      <c r="K7" s="88"/>
      <c r="L7" s="88"/>
      <c r="M7" s="88"/>
      <c r="N7" s="93">
        <v>3110</v>
      </c>
      <c r="O7" s="88"/>
      <c r="P7" s="88"/>
      <c r="Q7" s="47">
        <f>400000+100000</f>
        <v>500000</v>
      </c>
      <c r="R7" s="47"/>
      <c r="S7" s="253" t="s">
        <v>492</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11"/>
      <c r="E8" s="311"/>
      <c r="F8" s="307"/>
      <c r="G8" s="90" t="s">
        <v>127</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c r="AF8" s="47"/>
      <c r="AG8" s="47"/>
      <c r="AH8" s="47">
        <f>30000+40000+21000</f>
        <v>91000</v>
      </c>
      <c r="AI8" s="47"/>
    </row>
    <row r="9" spans="1:35" s="14" customFormat="1" ht="56.25">
      <c r="A9" s="13"/>
      <c r="B9" s="39"/>
      <c r="C9" s="39"/>
      <c r="D9" s="311"/>
      <c r="E9" s="311"/>
      <c r="F9" s="307"/>
      <c r="G9" s="90" t="s">
        <v>128</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11"/>
      <c r="E10" s="311"/>
      <c r="F10" s="307"/>
      <c r="G10" s="90" t="s">
        <v>129</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11"/>
      <c r="E11" s="311"/>
      <c r="F11" s="307"/>
      <c r="G11" s="90" t="s">
        <v>130</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11"/>
      <c r="E12" s="311"/>
      <c r="F12" s="307"/>
      <c r="G12" s="90" t="s">
        <v>310</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11"/>
      <c r="E13" s="311"/>
      <c r="F13" s="307"/>
      <c r="G13" s="90" t="s">
        <v>490</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c r="AF13" s="47"/>
      <c r="AG13" s="47">
        <f>300000-300000+50500-28000</f>
        <v>22500</v>
      </c>
      <c r="AH13" s="47">
        <f>360132-125132-42200-30000-40000-21000</f>
        <v>101800</v>
      </c>
      <c r="AI13" s="47">
        <f>70035+29906+8000+7954+14900+29950</f>
        <v>160745</v>
      </c>
    </row>
    <row r="14" spans="1:35" s="14" customFormat="1" ht="112.5">
      <c r="A14" s="13"/>
      <c r="B14" s="39"/>
      <c r="C14" s="39"/>
      <c r="D14" s="311"/>
      <c r="E14" s="311"/>
      <c r="F14" s="307"/>
      <c r="G14" s="90" t="s">
        <v>404</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11"/>
      <c r="E15" s="311"/>
      <c r="F15" s="307"/>
      <c r="G15" s="53" t="s">
        <v>373</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11"/>
      <c r="E16" s="311"/>
      <c r="F16" s="307"/>
      <c r="G16" s="53" t="s">
        <v>662</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11"/>
      <c r="E17" s="311"/>
      <c r="F17" s="307"/>
      <c r="G17" s="53" t="s">
        <v>693</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11"/>
      <c r="E18" s="311"/>
      <c r="F18" s="307"/>
      <c r="G18" s="53" t="s">
        <v>694</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11"/>
      <c r="E19" s="311"/>
      <c r="F19" s="307"/>
      <c r="G19" s="53" t="s">
        <v>695</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11"/>
      <c r="E20" s="311"/>
      <c r="F20" s="307"/>
      <c r="G20" s="53" t="s">
        <v>696</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11"/>
      <c r="E21" s="311"/>
      <c r="F21" s="307"/>
      <c r="G21" s="252" t="s">
        <v>237</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33" t="s">
        <v>137</v>
      </c>
      <c r="E22" s="333" t="s">
        <v>743</v>
      </c>
      <c r="F22" s="336" t="s">
        <v>356</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354419.72</v>
      </c>
    </row>
    <row r="23" spans="1:35" s="14" customFormat="1" ht="150">
      <c r="A23" s="13"/>
      <c r="B23" s="39"/>
      <c r="C23" s="251"/>
      <c r="D23" s="334"/>
      <c r="E23" s="334"/>
      <c r="F23" s="337"/>
      <c r="G23" s="53" t="s">
        <v>744</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f>
        <v>335274.72</v>
      </c>
    </row>
    <row r="24" spans="1:35" s="14" customFormat="1" ht="75">
      <c r="A24" s="13"/>
      <c r="B24" s="39"/>
      <c r="C24" s="251"/>
      <c r="D24" s="335"/>
      <c r="E24" s="335"/>
      <c r="F24" s="338"/>
      <c r="G24" s="252" t="s">
        <v>80</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10" t="s">
        <v>221</v>
      </c>
      <c r="E25" s="310" t="s">
        <v>345</v>
      </c>
      <c r="F25" s="306" t="s">
        <v>9</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11"/>
      <c r="E26" s="311"/>
      <c r="F26" s="307"/>
      <c r="G26" s="97" t="s">
        <v>374</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11"/>
      <c r="E27" s="311"/>
      <c r="F27" s="307"/>
      <c r="G27" s="97" t="s">
        <v>264</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196</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10" t="s">
        <v>219</v>
      </c>
      <c r="E29" s="310" t="s">
        <v>140</v>
      </c>
      <c r="F29" s="306" t="s">
        <v>220</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11"/>
      <c r="E30" s="311"/>
      <c r="F30" s="307"/>
      <c r="G30" s="96" t="s">
        <v>697</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11"/>
      <c r="E31" s="311"/>
      <c r="F31" s="307"/>
      <c r="G31" s="96" t="s">
        <v>698</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63</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17748848.7</v>
      </c>
      <c r="AE32" s="35">
        <f t="shared" si="9"/>
        <v>5987930.2</v>
      </c>
      <c r="AF32" s="35">
        <f t="shared" si="9"/>
        <v>5568525.91</v>
      </c>
      <c r="AG32" s="35">
        <f t="shared" si="9"/>
        <v>9729614.51</v>
      </c>
      <c r="AH32" s="35">
        <f t="shared" si="9"/>
        <v>10622266</v>
      </c>
      <c r="AI32" s="35">
        <f t="shared" si="9"/>
        <v>40369201.61000001</v>
      </c>
    </row>
    <row r="33" spans="2:35" ht="18.75">
      <c r="B33" s="20"/>
      <c r="C33" s="9"/>
      <c r="D33" s="310" t="s">
        <v>219</v>
      </c>
      <c r="E33" s="310" t="s">
        <v>140</v>
      </c>
      <c r="F33" s="306" t="s">
        <v>220</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11"/>
      <c r="E34" s="311"/>
      <c r="F34" s="307"/>
      <c r="G34" s="110" t="s">
        <v>699</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11"/>
      <c r="E35" s="311"/>
      <c r="F35" s="307"/>
      <c r="G35" s="110" t="s">
        <v>700</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11"/>
      <c r="E36" s="311"/>
      <c r="F36" s="307"/>
      <c r="G36" s="110" t="s">
        <v>701</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11"/>
      <c r="E37" s="311"/>
      <c r="F37" s="307"/>
      <c r="G37" s="110" t="s">
        <v>702</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11"/>
      <c r="E38" s="311"/>
      <c r="F38" s="307"/>
      <c r="G38" s="110" t="s">
        <v>703</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11"/>
      <c r="E39" s="311"/>
      <c r="F39" s="307"/>
      <c r="G39" s="110" t="s">
        <v>704</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1" t="s">
        <v>222</v>
      </c>
      <c r="E40" s="291" t="s">
        <v>143</v>
      </c>
      <c r="F40" s="276" t="s">
        <v>605</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4321418.699999999</v>
      </c>
      <c r="AE40" s="50">
        <f t="shared" si="13"/>
        <v>2071321.49</v>
      </c>
      <c r="AF40" s="50">
        <f t="shared" si="13"/>
        <v>4636313.91</v>
      </c>
      <c r="AG40" s="50">
        <f t="shared" si="13"/>
        <v>3076351.51</v>
      </c>
      <c r="AH40" s="50">
        <f t="shared" si="13"/>
        <v>1139776.6</v>
      </c>
      <c r="AI40" s="50">
        <f t="shared" si="13"/>
        <v>18756609.919999998</v>
      </c>
    </row>
    <row r="41" spans="2:35" ht="37.5">
      <c r="B41" s="25"/>
      <c r="C41" s="25"/>
      <c r="D41" s="292"/>
      <c r="E41" s="292"/>
      <c r="F41" s="277"/>
      <c r="G41" s="110" t="s">
        <v>705</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92"/>
      <c r="E42" s="292"/>
      <c r="F42" s="277"/>
      <c r="G42" s="110" t="s">
        <v>330</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92"/>
      <c r="E43" s="292"/>
      <c r="F43" s="277"/>
      <c r="G43" s="110" t="s">
        <v>98</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92"/>
      <c r="E44" s="292"/>
      <c r="F44" s="277"/>
      <c r="G44" s="110" t="s">
        <v>162</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69"/>
      <c r="AF44" s="43"/>
      <c r="AG44" s="43"/>
      <c r="AH44" s="43"/>
      <c r="AI44" s="244"/>
    </row>
    <row r="45" spans="2:35" ht="75">
      <c r="B45" s="25"/>
      <c r="C45" s="25"/>
      <c r="D45" s="292"/>
      <c r="E45" s="292"/>
      <c r="F45" s="277"/>
      <c r="G45" s="110" t="s">
        <v>619</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f>
        <v>73000</v>
      </c>
      <c r="AE45" s="245"/>
      <c r="AF45" s="43">
        <f>70000-1500</f>
        <v>68500</v>
      </c>
      <c r="AG45" s="43"/>
      <c r="AH45" s="43"/>
      <c r="AI45" s="244">
        <f>1303.2+206306.1</f>
        <v>207609.30000000002</v>
      </c>
    </row>
    <row r="46" spans="2:35" ht="37.5">
      <c r="B46" s="25"/>
      <c r="C46" s="25"/>
      <c r="D46" s="292"/>
      <c r="E46" s="292"/>
      <c r="F46" s="277"/>
      <c r="G46" s="110" t="s">
        <v>163</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45"/>
      <c r="AF46" s="43"/>
      <c r="AG46" s="43"/>
      <c r="AH46" s="43"/>
      <c r="AI46" s="244"/>
    </row>
    <row r="47" spans="2:35" ht="56.25">
      <c r="B47" s="25"/>
      <c r="C47" s="25"/>
      <c r="D47" s="292"/>
      <c r="E47" s="292"/>
      <c r="F47" s="277"/>
      <c r="G47" s="110" t="s">
        <v>735</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92"/>
      <c r="E48" s="292"/>
      <c r="F48" s="277"/>
      <c r="G48" s="110" t="s">
        <v>33</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92"/>
      <c r="E49" s="292"/>
      <c r="F49" s="277"/>
      <c r="G49" s="110" t="s">
        <v>168</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92"/>
      <c r="E50" s="292"/>
      <c r="F50" s="277"/>
      <c r="G50" s="110" t="s">
        <v>34</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92"/>
      <c r="E51" s="292"/>
      <c r="F51" s="277"/>
      <c r="G51" s="110" t="s">
        <v>326</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92"/>
      <c r="E52" s="292"/>
      <c r="F52" s="277"/>
      <c r="G52" s="110" t="s">
        <v>327</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92"/>
      <c r="E53" s="292"/>
      <c r="F53" s="277"/>
      <c r="G53" s="110" t="s">
        <v>383</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f>
        <v>45450</v>
      </c>
      <c r="AE53" s="43"/>
      <c r="AF53" s="43"/>
      <c r="AG53" s="43"/>
      <c r="AH53" s="43"/>
      <c r="AI53" s="244">
        <f>4080+81491</f>
        <v>85571</v>
      </c>
    </row>
    <row r="54" spans="2:35" ht="56.25">
      <c r="B54" s="25"/>
      <c r="C54" s="25"/>
      <c r="D54" s="292"/>
      <c r="E54" s="292"/>
      <c r="F54" s="277"/>
      <c r="G54" s="110" t="s">
        <v>328</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92"/>
      <c r="E55" s="292"/>
      <c r="F55" s="277"/>
      <c r="G55" s="110" t="s">
        <v>731</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92"/>
      <c r="E56" s="292"/>
      <c r="F56" s="277"/>
      <c r="G56" s="110" t="s">
        <v>732</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92"/>
      <c r="E57" s="292"/>
      <c r="F57" s="277"/>
      <c r="G57" s="110" t="s">
        <v>733</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92"/>
      <c r="E58" s="292"/>
      <c r="F58" s="277"/>
      <c r="G58" s="110" t="s">
        <v>734</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92"/>
      <c r="E59" s="292"/>
      <c r="F59" s="277"/>
      <c r="G59" s="110" t="s">
        <v>323</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92"/>
      <c r="E60" s="292"/>
      <c r="F60" s="277"/>
      <c r="G60" s="110" t="s">
        <v>324</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92"/>
      <c r="E61" s="292"/>
      <c r="F61" s="277"/>
      <c r="G61" s="110" t="s">
        <v>325</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92"/>
      <c r="E62" s="292"/>
      <c r="F62" s="277"/>
      <c r="G62" s="110" t="s">
        <v>95</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92"/>
      <c r="E63" s="292"/>
      <c r="F63" s="277"/>
      <c r="G63" s="110" t="s">
        <v>96</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f>
        <v>0</v>
      </c>
      <c r="AE63" s="43">
        <f>225000-30000-9600</f>
        <v>185400</v>
      </c>
      <c r="AF63" s="43"/>
      <c r="AG63" s="43"/>
      <c r="AH63" s="43"/>
      <c r="AI63" s="244">
        <f>6188+408318.38</f>
        <v>414506.38</v>
      </c>
    </row>
    <row r="64" spans="2:35" ht="56.25">
      <c r="B64" s="25"/>
      <c r="C64" s="25"/>
      <c r="D64" s="292"/>
      <c r="E64" s="292"/>
      <c r="F64" s="277"/>
      <c r="G64" s="110" t="s">
        <v>97</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f>
        <v>90000</v>
      </c>
      <c r="AE64" s="43"/>
      <c r="AF64" s="43"/>
      <c r="AG64" s="43">
        <f>80000-3230</f>
        <v>76770</v>
      </c>
      <c r="AH64" s="43"/>
      <c r="AI64" s="244">
        <f>3230+4500</f>
        <v>7730</v>
      </c>
    </row>
    <row r="65" spans="2:35" ht="75">
      <c r="B65" s="25"/>
      <c r="C65" s="25"/>
      <c r="D65" s="292"/>
      <c r="E65" s="292"/>
      <c r="F65" s="277"/>
      <c r="G65" s="110" t="s">
        <v>546</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f>
        <v>0</v>
      </c>
      <c r="AE65" s="43"/>
      <c r="AF65" s="43">
        <v>80000</v>
      </c>
      <c r="AG65" s="43"/>
      <c r="AH65" s="43"/>
      <c r="AI65" s="244">
        <f>35353.64</f>
        <v>35353.64</v>
      </c>
    </row>
    <row r="66" spans="2:35" ht="37.5">
      <c r="B66" s="25"/>
      <c r="C66" s="25"/>
      <c r="D66" s="292"/>
      <c r="E66" s="292"/>
      <c r="F66" s="277"/>
      <c r="G66" s="110" t="s">
        <v>547</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92"/>
      <c r="E67" s="292"/>
      <c r="F67" s="277"/>
      <c r="G67" s="110" t="s">
        <v>763</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f>
        <v>75000</v>
      </c>
      <c r="AE67" s="43">
        <v>45000</v>
      </c>
      <c r="AF67" s="43"/>
      <c r="AG67" s="43">
        <v>850</v>
      </c>
      <c r="AH67" s="43"/>
      <c r="AI67" s="244">
        <f>49113.5</f>
        <v>49113.5</v>
      </c>
    </row>
    <row r="68" spans="2:35" ht="60.75" customHeight="1">
      <c r="B68" s="25"/>
      <c r="C68" s="25"/>
      <c r="D68" s="292"/>
      <c r="E68" s="292"/>
      <c r="F68" s="277"/>
      <c r="G68" s="110" t="s">
        <v>169</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92"/>
      <c r="E69" s="292"/>
      <c r="F69" s="277"/>
      <c r="G69" s="110" t="s">
        <v>805</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92"/>
      <c r="E70" s="292"/>
      <c r="F70" s="277"/>
      <c r="G70" s="110" t="s">
        <v>806</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v>100000</v>
      </c>
      <c r="AE70" s="43">
        <v>54724</v>
      </c>
      <c r="AF70" s="43"/>
      <c r="AG70" s="43">
        <v>1200</v>
      </c>
      <c r="AH70" s="43"/>
      <c r="AI70" s="244">
        <f>148707.5</f>
        <v>148707.5</v>
      </c>
    </row>
    <row r="71" spans="2:35" ht="56.25">
      <c r="B71" s="25"/>
      <c r="C71" s="25"/>
      <c r="D71" s="292"/>
      <c r="E71" s="292"/>
      <c r="F71" s="277"/>
      <c r="G71" s="110" t="s">
        <v>454</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92"/>
      <c r="E72" s="292"/>
      <c r="F72" s="277"/>
      <c r="G72" s="110" t="s">
        <v>807</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c r="AE72" s="43">
        <f>150000-150000</f>
        <v>0</v>
      </c>
      <c r="AF72" s="43">
        <f>225000-30000-9600</f>
        <v>185400</v>
      </c>
      <c r="AG72" s="43"/>
      <c r="AH72" s="43"/>
      <c r="AI72" s="244">
        <f>6183+0.2+408323.59</f>
        <v>414506.79000000004</v>
      </c>
    </row>
    <row r="73" spans="2:35" ht="56.25">
      <c r="B73" s="25"/>
      <c r="C73" s="25"/>
      <c r="D73" s="292"/>
      <c r="E73" s="292"/>
      <c r="F73" s="277"/>
      <c r="G73" s="110" t="s">
        <v>808</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f>
        <v>-2000</v>
      </c>
      <c r="AE73" s="43"/>
      <c r="AF73" s="43"/>
      <c r="AG73" s="43">
        <f>15000+135000</f>
        <v>150000</v>
      </c>
      <c r="AH73" s="43"/>
      <c r="AI73" s="244"/>
    </row>
    <row r="74" spans="2:35" ht="37.5">
      <c r="B74" s="25"/>
      <c r="C74" s="25"/>
      <c r="D74" s="292"/>
      <c r="E74" s="292"/>
      <c r="F74" s="277"/>
      <c r="G74" s="110" t="s">
        <v>809</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c r="AE74" s="43"/>
      <c r="AF74" s="43">
        <f>95000-25000-8600</f>
        <v>61400</v>
      </c>
      <c r="AG74" s="43"/>
      <c r="AH74" s="43"/>
      <c r="AI74" s="244">
        <f>5501.6+133065.34</f>
        <v>138566.94</v>
      </c>
    </row>
    <row r="75" spans="2:35" ht="56.25">
      <c r="B75" s="25"/>
      <c r="C75" s="25"/>
      <c r="D75" s="292"/>
      <c r="E75" s="292"/>
      <c r="F75" s="277"/>
      <c r="G75" s="110" t="s">
        <v>821</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92"/>
      <c r="E76" s="292"/>
      <c r="F76" s="277"/>
      <c r="G76" s="110" t="s">
        <v>822</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92"/>
      <c r="E77" s="292"/>
      <c r="F77" s="277"/>
      <c r="G77" s="110" t="s">
        <v>823</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92"/>
      <c r="E78" s="292"/>
      <c r="F78" s="277"/>
      <c r="G78" s="110" t="s">
        <v>364</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f>
        <v>98144</v>
      </c>
    </row>
    <row r="79" spans="2:35" ht="37.5">
      <c r="B79" s="25"/>
      <c r="C79" s="25"/>
      <c r="D79" s="292"/>
      <c r="E79" s="292"/>
      <c r="F79" s="277"/>
      <c r="G79" s="110" t="s">
        <v>167</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92"/>
      <c r="E80" s="292"/>
      <c r="F80" s="277"/>
      <c r="G80" s="110" t="s">
        <v>365</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92"/>
      <c r="E81" s="292"/>
      <c r="F81" s="277"/>
      <c r="G81" s="110" t="s">
        <v>366</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f>
        <v>180000</v>
      </c>
      <c r="AE81" s="43"/>
      <c r="AF81" s="43">
        <f>150000-90000-60000</f>
        <v>0</v>
      </c>
      <c r="AG81" s="43">
        <f>100000+18855.5-115000</f>
        <v>3855.5</v>
      </c>
      <c r="AH81" s="43"/>
      <c r="AI81" s="244">
        <f>6206+408300.73+174918.96</f>
        <v>589425.69</v>
      </c>
    </row>
    <row r="82" spans="2:35" ht="56.25">
      <c r="B82" s="25"/>
      <c r="C82" s="25"/>
      <c r="D82" s="292"/>
      <c r="E82" s="292"/>
      <c r="F82" s="277"/>
      <c r="G82" s="110" t="s">
        <v>367</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92"/>
      <c r="E83" s="292"/>
      <c r="F83" s="277"/>
      <c r="G83" s="110" t="s">
        <v>368</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92"/>
      <c r="E84" s="292"/>
      <c r="F84" s="277"/>
      <c r="G84" s="110" t="s">
        <v>369</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92"/>
      <c r="E85" s="292"/>
      <c r="F85" s="277"/>
      <c r="G85" s="110" t="s">
        <v>370</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c r="AE85" s="43"/>
      <c r="AF85" s="43">
        <f>100000-95000</f>
        <v>5000</v>
      </c>
      <c r="AG85" s="43">
        <f>125000-6600</f>
        <v>118400</v>
      </c>
      <c r="AH85" s="43"/>
      <c r="AI85" s="244">
        <f>5757.2+270743.62</f>
        <v>276500.82</v>
      </c>
    </row>
    <row r="86" spans="2:35" ht="37.5">
      <c r="B86" s="25"/>
      <c r="C86" s="25"/>
      <c r="D86" s="292"/>
      <c r="E86" s="292"/>
      <c r="F86" s="277"/>
      <c r="G86" s="110" t="s">
        <v>371</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f>
        <v>-2000</v>
      </c>
      <c r="AE86" s="43"/>
      <c r="AF86" s="43">
        <f>105000+105000+125000</f>
        <v>335000</v>
      </c>
      <c r="AG86" s="43"/>
      <c r="AH86" s="43"/>
      <c r="AI86" s="244">
        <f>3659+120358.5</f>
        <v>124017.5</v>
      </c>
    </row>
    <row r="87" spans="2:35" ht="37.5">
      <c r="B87" s="25"/>
      <c r="C87" s="25"/>
      <c r="D87" s="292"/>
      <c r="E87" s="292"/>
      <c r="F87" s="277"/>
      <c r="G87" s="110" t="s">
        <v>372</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v>5500</v>
      </c>
      <c r="AE87" s="43"/>
      <c r="AF87" s="43">
        <v>145000</v>
      </c>
      <c r="AG87" s="43"/>
      <c r="AH87" s="43"/>
      <c r="AI87" s="244">
        <f>144483+4847.8</f>
        <v>149330.8</v>
      </c>
    </row>
    <row r="88" spans="2:35" ht="56.25">
      <c r="B88" s="25"/>
      <c r="C88" s="25"/>
      <c r="D88" s="292"/>
      <c r="E88" s="292"/>
      <c r="F88" s="277"/>
      <c r="G88" s="110" t="s">
        <v>770</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92"/>
      <c r="E89" s="292"/>
      <c r="F89" s="277"/>
      <c r="G89" s="110" t="s">
        <v>771</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v>90000</v>
      </c>
      <c r="AE89" s="43"/>
      <c r="AF89" s="43">
        <f>91973-89974</f>
        <v>1999</v>
      </c>
      <c r="AG89" s="43"/>
      <c r="AH89" s="43"/>
      <c r="AI89" s="244">
        <f>89973.1</f>
        <v>89973.1</v>
      </c>
    </row>
    <row r="90" spans="2:35" ht="56.25">
      <c r="B90" s="25"/>
      <c r="C90" s="25"/>
      <c r="D90" s="292"/>
      <c r="E90" s="292"/>
      <c r="F90" s="277"/>
      <c r="G90" s="110" t="s">
        <v>812</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f>
        <v>92000</v>
      </c>
      <c r="AE90" s="43"/>
      <c r="AF90" s="43"/>
      <c r="AG90" s="43"/>
      <c r="AH90" s="43"/>
      <c r="AI90" s="244">
        <f>4753.6+202306.3</f>
        <v>207059.9</v>
      </c>
    </row>
    <row r="91" spans="2:35" ht="37.5">
      <c r="B91" s="25"/>
      <c r="C91" s="25"/>
      <c r="D91" s="292"/>
      <c r="E91" s="292"/>
      <c r="F91" s="277"/>
      <c r="G91" s="110" t="s">
        <v>623</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c r="AE91" s="43"/>
      <c r="AF91" s="43">
        <f>50000-7000</f>
        <v>43000</v>
      </c>
      <c r="AG91" s="43"/>
      <c r="AH91" s="43">
        <v>13000</v>
      </c>
      <c r="AI91" s="244">
        <f>4080+71115.5</f>
        <v>75195.5</v>
      </c>
    </row>
    <row r="92" spans="2:35" ht="56.25">
      <c r="B92" s="25"/>
      <c r="C92" s="25"/>
      <c r="D92" s="292"/>
      <c r="E92" s="292"/>
      <c r="F92" s="277"/>
      <c r="G92" s="110" t="s">
        <v>131</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92"/>
      <c r="E93" s="292"/>
      <c r="F93" s="277"/>
      <c r="G93" s="110" t="s">
        <v>736</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92"/>
      <c r="E94" s="292"/>
      <c r="F94" s="277"/>
      <c r="G94" s="110" t="s">
        <v>737</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f>
        <v>74940</v>
      </c>
      <c r="AE94" s="43"/>
      <c r="AF94" s="43">
        <v>300000</v>
      </c>
      <c r="AG94" s="43"/>
      <c r="AH94" s="43"/>
      <c r="AI94" s="244">
        <f>5152.2+319907.5</f>
        <v>325059.7</v>
      </c>
    </row>
    <row r="95" spans="2:35" ht="37.5">
      <c r="B95" s="25"/>
      <c r="C95" s="25"/>
      <c r="D95" s="292"/>
      <c r="E95" s="292"/>
      <c r="F95" s="277"/>
      <c r="G95" s="110" t="s">
        <v>738</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c r="AE95" s="43"/>
      <c r="AF95" s="43">
        <v>220000</v>
      </c>
      <c r="AG95" s="43"/>
      <c r="AH95" s="43"/>
      <c r="AI95" s="244">
        <f>4189+269229.5</f>
        <v>273418.5</v>
      </c>
    </row>
    <row r="96" spans="2:35" ht="56.25">
      <c r="B96" s="25"/>
      <c r="C96" s="25"/>
      <c r="D96" s="292"/>
      <c r="E96" s="292"/>
      <c r="F96" s="277"/>
      <c r="G96" s="110" t="s">
        <v>739</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92"/>
      <c r="E97" s="292"/>
      <c r="F97" s="277"/>
      <c r="G97" s="110" t="s">
        <v>38</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92"/>
      <c r="E98" s="292"/>
      <c r="F98" s="277"/>
      <c r="G98" s="110" t="s">
        <v>39</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92"/>
      <c r="E99" s="292"/>
      <c r="F99" s="277"/>
      <c r="G99" s="110" t="s">
        <v>685</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f>
        <v>0</v>
      </c>
      <c r="AE99" s="43"/>
      <c r="AF99" s="43">
        <f>59000</f>
        <v>59000</v>
      </c>
      <c r="AG99" s="43">
        <f>200000-130000-70000</f>
        <v>0</v>
      </c>
      <c r="AH99" s="43"/>
      <c r="AI99" s="244">
        <f>5805.8+338760.8</f>
        <v>344566.6</v>
      </c>
    </row>
    <row r="100" spans="2:35" ht="56.25">
      <c r="B100" s="25"/>
      <c r="C100" s="25"/>
      <c r="D100" s="292"/>
      <c r="E100" s="292"/>
      <c r="F100" s="277"/>
      <c r="G100" s="110" t="s">
        <v>165</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92"/>
      <c r="E101" s="292"/>
      <c r="F101" s="277"/>
      <c r="G101" s="110" t="s">
        <v>686</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f>
        <v>122000</v>
      </c>
      <c r="AE101" s="43">
        <f>11000</f>
        <v>11000</v>
      </c>
      <c r="AF101" s="43">
        <f>150000</f>
        <v>150000</v>
      </c>
      <c r="AG101" s="43">
        <f>100000+88000</f>
        <v>188000</v>
      </c>
      <c r="AH101" s="43"/>
      <c r="AI101" s="244">
        <f>6799+167960+0.5</f>
        <v>174759.5</v>
      </c>
    </row>
    <row r="102" spans="2:35" ht="37.5">
      <c r="B102" s="25"/>
      <c r="C102" s="25"/>
      <c r="D102" s="292"/>
      <c r="E102" s="292"/>
      <c r="F102" s="277"/>
      <c r="G102" s="110" t="s">
        <v>687</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92"/>
      <c r="E103" s="292"/>
      <c r="F103" s="277"/>
      <c r="G103" s="110" t="s">
        <v>688</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c r="AE103" s="43">
        <f>120000-35000</f>
        <v>85000</v>
      </c>
      <c r="AF103" s="43">
        <f>120000-120000</f>
        <v>0</v>
      </c>
      <c r="AG103" s="43"/>
      <c r="AH103" s="43"/>
      <c r="AI103" s="244">
        <v>161853</v>
      </c>
    </row>
    <row r="104" spans="2:35" ht="56.25">
      <c r="B104" s="25"/>
      <c r="C104" s="25"/>
      <c r="D104" s="292"/>
      <c r="E104" s="292"/>
      <c r="F104" s="277"/>
      <c r="G104" s="110" t="s">
        <v>689</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92"/>
      <c r="E105" s="292"/>
      <c r="F105" s="277"/>
      <c r="G105" s="110" t="s">
        <v>690</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92"/>
      <c r="E106" s="292"/>
      <c r="F106" s="277"/>
      <c r="G106" s="110" t="s">
        <v>299</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92"/>
      <c r="E107" s="292"/>
      <c r="F107" s="277"/>
      <c r="G107" s="110" t="s">
        <v>730</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92"/>
      <c r="E108" s="292"/>
      <c r="F108" s="277"/>
      <c r="G108" s="110" t="s">
        <v>104</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v>85000</v>
      </c>
      <c r="AE108" s="43"/>
      <c r="AF108" s="43">
        <v>95000</v>
      </c>
      <c r="AG108" s="43"/>
      <c r="AH108" s="43"/>
      <c r="AI108" s="244">
        <f>4500</f>
        <v>4500</v>
      </c>
    </row>
    <row r="109" spans="2:35" ht="56.25">
      <c r="B109" s="25"/>
      <c r="C109" s="25"/>
      <c r="D109" s="292"/>
      <c r="E109" s="292"/>
      <c r="F109" s="277"/>
      <c r="G109" s="110" t="s">
        <v>105</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f>
        <v>0</v>
      </c>
      <c r="AE109" s="43"/>
      <c r="AF109" s="43">
        <f>90000+5000-80000</f>
        <v>15000</v>
      </c>
      <c r="AG109" s="43"/>
      <c r="AH109" s="43"/>
      <c r="AI109" s="244"/>
    </row>
    <row r="110" spans="2:35" ht="37.5">
      <c r="B110" s="25"/>
      <c r="C110" s="25"/>
      <c r="D110" s="292"/>
      <c r="E110" s="292"/>
      <c r="F110" s="277"/>
      <c r="G110" s="110" t="s">
        <v>115</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92"/>
      <c r="E111" s="292"/>
      <c r="F111" s="277"/>
      <c r="G111" s="110" t="s">
        <v>132</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92"/>
      <c r="E112" s="292"/>
      <c r="F112" s="277"/>
      <c r="G112" s="110" t="s">
        <v>133</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92"/>
      <c r="E113" s="292"/>
      <c r="F113" s="277"/>
      <c r="G113" s="110" t="s">
        <v>179</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f>
        <v>5000</v>
      </c>
      <c r="AE113" s="43">
        <f>100000-100000</f>
        <v>0</v>
      </c>
      <c r="AF113" s="43">
        <f>150000-10000</f>
        <v>140000</v>
      </c>
      <c r="AG113" s="43"/>
      <c r="AH113" s="43"/>
      <c r="AI113" s="244">
        <f>25000+320021.52</f>
        <v>345021.52</v>
      </c>
    </row>
    <row r="114" spans="2:35" ht="56.25">
      <c r="B114" s="25"/>
      <c r="C114" s="25"/>
      <c r="D114" s="292"/>
      <c r="E114" s="292"/>
      <c r="F114" s="277"/>
      <c r="G114" s="110" t="s">
        <v>134</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c r="AE114" s="43"/>
      <c r="AF114" s="43"/>
      <c r="AG114" s="43">
        <v>80000</v>
      </c>
      <c r="AH114" s="43"/>
      <c r="AI114" s="244">
        <f>220961.31</f>
        <v>220961.31</v>
      </c>
    </row>
    <row r="115" spans="2:35" ht="56.25">
      <c r="B115" s="25"/>
      <c r="C115" s="25"/>
      <c r="D115" s="292"/>
      <c r="E115" s="292"/>
      <c r="F115" s="277"/>
      <c r="G115" s="110" t="s">
        <v>41</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92"/>
      <c r="E116" s="292"/>
      <c r="F116" s="277"/>
      <c r="G116" s="110" t="s">
        <v>112</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f>
        <v>100000</v>
      </c>
      <c r="AE116" s="43">
        <f>100000</f>
        <v>100000</v>
      </c>
      <c r="AF116" s="43"/>
      <c r="AG116" s="43">
        <f>95000-45000</f>
        <v>50000</v>
      </c>
      <c r="AH116" s="43"/>
      <c r="AI116" s="244">
        <f>4329.6+134154.44+57494.78</f>
        <v>195978.82</v>
      </c>
    </row>
    <row r="117" spans="2:35" ht="56.25">
      <c r="B117" s="25"/>
      <c r="C117" s="25"/>
      <c r="D117" s="292"/>
      <c r="E117" s="292"/>
      <c r="F117" s="277"/>
      <c r="G117" s="110" t="s">
        <v>113</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v>110000</v>
      </c>
      <c r="AE117" s="43"/>
      <c r="AF117" s="43">
        <f>32000</f>
        <v>32000</v>
      </c>
      <c r="AG117" s="43"/>
      <c r="AH117" s="43"/>
      <c r="AI117" s="244">
        <f>757.2+171493.8</f>
        <v>172251</v>
      </c>
    </row>
    <row r="118" spans="2:35" ht="37.5">
      <c r="B118" s="25"/>
      <c r="C118" s="25"/>
      <c r="D118" s="292"/>
      <c r="E118" s="292"/>
      <c r="F118" s="277"/>
      <c r="G118" s="110" t="s">
        <v>262</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v>58000</v>
      </c>
      <c r="AE118" s="43"/>
      <c r="AF118" s="43">
        <f>85000-85000</f>
        <v>0</v>
      </c>
      <c r="AG118" s="43"/>
      <c r="AH118" s="43"/>
      <c r="AI118" s="244">
        <f>99799</f>
        <v>99799</v>
      </c>
    </row>
    <row r="119" spans="2:35" ht="37.5">
      <c r="B119" s="25"/>
      <c r="C119" s="25"/>
      <c r="D119" s="292"/>
      <c r="E119" s="292"/>
      <c r="F119" s="277"/>
      <c r="G119" s="110" t="s">
        <v>263</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f>
        <v>295000</v>
      </c>
      <c r="AE119" s="43">
        <f>110000-110000</f>
        <v>0</v>
      </c>
      <c r="AF119" s="43"/>
      <c r="AG119" s="43">
        <f>150000-150000</f>
        <v>0</v>
      </c>
      <c r="AH119" s="43"/>
      <c r="AI119" s="244">
        <f>2905.4+293085.5+293085.5</f>
        <v>589076.4</v>
      </c>
    </row>
    <row r="120" spans="2:35" ht="37.5">
      <c r="B120" s="25"/>
      <c r="C120" s="25"/>
      <c r="D120" s="292"/>
      <c r="E120" s="292"/>
      <c r="F120" s="277"/>
      <c r="G120" s="110" t="s">
        <v>748</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92"/>
      <c r="E121" s="292"/>
      <c r="F121" s="277"/>
      <c r="G121" s="110" t="s">
        <v>749</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92"/>
      <c r="E122" s="292"/>
      <c r="F122" s="277"/>
      <c r="G122" s="110" t="s">
        <v>750</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92"/>
      <c r="E123" s="292"/>
      <c r="F123" s="277"/>
      <c r="G123" s="110" t="s">
        <v>751</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92"/>
      <c r="E124" s="292"/>
      <c r="F124" s="277"/>
      <c r="G124" s="110" t="s">
        <v>753</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92"/>
      <c r="E125" s="292"/>
      <c r="F125" s="277"/>
      <c r="G125" s="110" t="s">
        <v>754</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c r="AE125" s="43"/>
      <c r="AF125" s="43">
        <f>200000-200000</f>
        <v>0</v>
      </c>
      <c r="AG125" s="43">
        <v>200000</v>
      </c>
      <c r="AH125" s="43"/>
      <c r="AI125" s="244">
        <f>341165.4</f>
        <v>341165.4</v>
      </c>
    </row>
    <row r="126" spans="2:35" ht="75">
      <c r="B126" s="25"/>
      <c r="C126" s="25"/>
      <c r="D126" s="292"/>
      <c r="E126" s="292"/>
      <c r="F126" s="277"/>
      <c r="G126" s="110" t="s">
        <v>828</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c r="AE126" s="43"/>
      <c r="AF126" s="43">
        <f>60000+10000</f>
        <v>70000</v>
      </c>
      <c r="AG126" s="43"/>
      <c r="AH126" s="43"/>
      <c r="AI126" s="244">
        <v>75000</v>
      </c>
    </row>
    <row r="127" spans="2:35" ht="37.5">
      <c r="B127" s="25"/>
      <c r="C127" s="25"/>
      <c r="D127" s="292"/>
      <c r="E127" s="292"/>
      <c r="F127" s="277"/>
      <c r="G127" s="110" t="s">
        <v>829</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c r="AE127" s="43"/>
      <c r="AF127" s="43"/>
      <c r="AG127" s="43">
        <f>170000-10000-5500</f>
        <v>154500</v>
      </c>
      <c r="AH127" s="43"/>
      <c r="AI127" s="244">
        <f>5992.4+339507.52</f>
        <v>345499.92000000004</v>
      </c>
    </row>
    <row r="128" spans="2:35" ht="66.75" customHeight="1">
      <c r="B128" s="25"/>
      <c r="C128" s="25"/>
      <c r="D128" s="292"/>
      <c r="E128" s="292"/>
      <c r="F128" s="277"/>
      <c r="G128" s="110" t="s">
        <v>170</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92"/>
      <c r="E129" s="292"/>
      <c r="F129" s="277"/>
      <c r="G129" s="110" t="s">
        <v>830</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f>
        <v>20000</v>
      </c>
      <c r="AE129" s="43">
        <v>100000</v>
      </c>
      <c r="AF129" s="43">
        <v>60000</v>
      </c>
      <c r="AG129" s="43"/>
      <c r="AH129" s="43"/>
      <c r="AI129" s="244">
        <v>6747</v>
      </c>
    </row>
    <row r="130" spans="2:35" ht="37.5">
      <c r="B130" s="25"/>
      <c r="C130" s="25"/>
      <c r="D130" s="292"/>
      <c r="E130" s="292"/>
      <c r="F130" s="277"/>
      <c r="G130" s="110" t="s">
        <v>831</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92"/>
      <c r="E131" s="292"/>
      <c r="F131" s="277"/>
      <c r="G131" s="110" t="s">
        <v>832</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v>150000</v>
      </c>
      <c r="AE131" s="43"/>
      <c r="AF131" s="43">
        <f>135000-40000</f>
        <v>95000</v>
      </c>
      <c r="AG131" s="43"/>
      <c r="AH131" s="43"/>
      <c r="AI131" s="244">
        <f>2880+6720+239369.4</f>
        <v>248969.4</v>
      </c>
    </row>
    <row r="132" spans="2:35" ht="50.25" customHeight="1">
      <c r="B132" s="25"/>
      <c r="C132" s="25"/>
      <c r="D132" s="292"/>
      <c r="E132" s="292"/>
      <c r="F132" s="277"/>
      <c r="G132" s="110" t="s">
        <v>833</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6">
        <f>1681.21+166530.21</f>
        <v>168211.41999999998</v>
      </c>
    </row>
    <row r="133" spans="2:35" ht="56.25">
      <c r="B133" s="25"/>
      <c r="C133" s="25"/>
      <c r="D133" s="292"/>
      <c r="E133" s="292"/>
      <c r="F133" s="277"/>
      <c r="G133" s="110" t="s">
        <v>834</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c r="AE133" s="43"/>
      <c r="AF133" s="43"/>
      <c r="AG133" s="43"/>
      <c r="AH133" s="43"/>
      <c r="AI133" s="244"/>
    </row>
    <row r="134" spans="2:35" ht="56.25">
      <c r="B134" s="25"/>
      <c r="C134" s="25"/>
      <c r="D134" s="292"/>
      <c r="E134" s="292"/>
      <c r="F134" s="277"/>
      <c r="G134" s="110" t="s">
        <v>835</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92"/>
      <c r="E135" s="292"/>
      <c r="F135" s="277"/>
      <c r="G135" s="110" t="s">
        <v>614</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92"/>
      <c r="E136" s="292"/>
      <c r="F136" s="277"/>
      <c r="G136" s="110" t="s">
        <v>562</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c r="AE136" s="43"/>
      <c r="AF136" s="43"/>
      <c r="AG136" s="43">
        <f>125000-22000-10600</f>
        <v>92400</v>
      </c>
      <c r="AH136" s="43"/>
      <c r="AI136" s="244">
        <f>5543.6+201960.7</f>
        <v>207504.30000000002</v>
      </c>
    </row>
    <row r="137" spans="2:35" ht="37.5">
      <c r="B137" s="25"/>
      <c r="C137" s="25"/>
      <c r="D137" s="292"/>
      <c r="E137" s="292"/>
      <c r="F137" s="277"/>
      <c r="G137" s="110" t="s">
        <v>563</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92"/>
      <c r="E138" s="292"/>
      <c r="F138" s="277"/>
      <c r="G138" s="110" t="s">
        <v>564</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92"/>
      <c r="E139" s="292"/>
      <c r="F139" s="277"/>
      <c r="G139" s="110" t="s">
        <v>565</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92"/>
      <c r="E140" s="292"/>
      <c r="F140" s="277"/>
      <c r="G140" s="110" t="s">
        <v>617</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92"/>
      <c r="E141" s="292"/>
      <c r="F141" s="277"/>
      <c r="G141" s="110" t="s">
        <v>618</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f>
        <v>153555.09</v>
      </c>
      <c r="AE141" s="43"/>
      <c r="AF141" s="43">
        <f>248444.91-248000</f>
        <v>444.9100000000035</v>
      </c>
      <c r="AG141" s="43"/>
      <c r="AH141" s="43"/>
      <c r="AI141" s="244">
        <f>5992.4+339504.9</f>
        <v>345497.30000000005</v>
      </c>
    </row>
    <row r="142" spans="2:35" ht="56.25">
      <c r="B142" s="25"/>
      <c r="C142" s="25"/>
      <c r="D142" s="292"/>
      <c r="E142" s="292"/>
      <c r="F142" s="277"/>
      <c r="G142" s="110" t="s">
        <v>186</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v>81000</v>
      </c>
      <c r="AE142" s="43"/>
      <c r="AF142" s="43"/>
      <c r="AG142" s="43"/>
      <c r="AH142" s="43"/>
      <c r="AI142" s="244">
        <f>78328.78</f>
        <v>78328.78</v>
      </c>
    </row>
    <row r="143" spans="2:35" ht="56.25">
      <c r="B143" s="25"/>
      <c r="C143" s="25"/>
      <c r="D143" s="292"/>
      <c r="E143" s="292"/>
      <c r="F143" s="277"/>
      <c r="G143" s="110" t="s">
        <v>187</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92"/>
      <c r="E144" s="292"/>
      <c r="F144" s="277"/>
      <c r="G144" s="110" t="s">
        <v>86</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92"/>
      <c r="E145" s="292"/>
      <c r="F145" s="277"/>
      <c r="G145" s="110" t="s">
        <v>721</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c r="AE145" s="43"/>
      <c r="AF145" s="43"/>
      <c r="AG145" s="43"/>
      <c r="AH145" s="43"/>
      <c r="AI145" s="244">
        <f>3592+90924.5</f>
        <v>94516.5</v>
      </c>
    </row>
    <row r="146" spans="2:35" ht="36" hidden="1">
      <c r="B146" s="25"/>
      <c r="C146" s="25"/>
      <c r="D146" s="292"/>
      <c r="E146" s="292"/>
      <c r="F146" s="277"/>
      <c r="G146" s="110" t="s">
        <v>722</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92"/>
      <c r="E147" s="292"/>
      <c r="F147" s="277"/>
      <c r="G147" s="110" t="s">
        <v>723</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c r="AE147" s="43"/>
      <c r="AF147" s="43">
        <v>50000</v>
      </c>
      <c r="AG147" s="43"/>
      <c r="AH147" s="43"/>
      <c r="AI147" s="244"/>
    </row>
    <row r="148" spans="2:35" ht="37.5">
      <c r="B148" s="25"/>
      <c r="C148" s="25"/>
      <c r="D148" s="292"/>
      <c r="E148" s="292"/>
      <c r="F148" s="277"/>
      <c r="G148" s="110" t="s">
        <v>724</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c r="AE148" s="43">
        <f>179935-179000</f>
        <v>935</v>
      </c>
      <c r="AF148" s="43"/>
      <c r="AG148" s="43">
        <f>205000-91000</f>
        <v>114000</v>
      </c>
      <c r="AH148" s="43">
        <v>65</v>
      </c>
      <c r="AI148" s="244">
        <f>5776.4+270726.49</f>
        <v>276502.89</v>
      </c>
    </row>
    <row r="149" spans="2:35" ht="44.25" customHeight="1">
      <c r="B149" s="25"/>
      <c r="C149" s="25"/>
      <c r="D149" s="292"/>
      <c r="E149" s="292"/>
      <c r="F149" s="277"/>
      <c r="G149" s="110" t="s">
        <v>460</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f>
        <v>85000</v>
      </c>
      <c r="AE149" s="43"/>
      <c r="AF149" s="43"/>
      <c r="AG149" s="43"/>
      <c r="AH149" s="43"/>
      <c r="AI149" s="244">
        <v>83236.76</v>
      </c>
    </row>
    <row r="150" spans="2:35" ht="37.5">
      <c r="B150" s="25"/>
      <c r="C150" s="25"/>
      <c r="D150" s="292"/>
      <c r="E150" s="292"/>
      <c r="F150" s="277"/>
      <c r="G150" s="110" t="s">
        <v>461</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c r="AE150" s="43"/>
      <c r="AF150" s="43"/>
      <c r="AG150" s="43">
        <f>250000-185000</f>
        <v>65000</v>
      </c>
      <c r="AH150" s="43">
        <v>100000</v>
      </c>
      <c r="AI150" s="244">
        <f>6186.8+408304.64</f>
        <v>414491.44</v>
      </c>
    </row>
    <row r="151" spans="2:35" ht="56.25">
      <c r="B151" s="25"/>
      <c r="C151" s="25"/>
      <c r="D151" s="292"/>
      <c r="E151" s="292"/>
      <c r="F151" s="277"/>
      <c r="G151" s="110" t="s">
        <v>462</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92"/>
      <c r="E152" s="292"/>
      <c r="F152" s="277"/>
      <c r="G152" s="110" t="s">
        <v>171</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92"/>
      <c r="E153" s="292"/>
      <c r="F153" s="277"/>
      <c r="G153" s="110" t="s">
        <v>463</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f>
        <v>95000</v>
      </c>
      <c r="AE153" s="43"/>
      <c r="AF153" s="43"/>
      <c r="AG153" s="43">
        <f>240000-240000</f>
        <v>0</v>
      </c>
      <c r="AH153" s="43">
        <f>120000-60115</f>
        <v>59885</v>
      </c>
      <c r="AI153" s="244">
        <f>25000+320114.76</f>
        <v>345114.76</v>
      </c>
    </row>
    <row r="154" spans="2:35" ht="37.5">
      <c r="B154" s="25"/>
      <c r="C154" s="25"/>
      <c r="D154" s="292"/>
      <c r="E154" s="292"/>
      <c r="F154" s="277"/>
      <c r="G154" s="110" t="s">
        <v>464</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c r="AE154" s="43"/>
      <c r="AF154" s="43"/>
      <c r="AG154" s="43">
        <v>145000</v>
      </c>
      <c r="AH154" s="43"/>
      <c r="AI154" s="244">
        <f>148630.3</f>
        <v>148630.3</v>
      </c>
    </row>
    <row r="155" spans="2:35" ht="75">
      <c r="B155" s="25"/>
      <c r="C155" s="25"/>
      <c r="D155" s="292"/>
      <c r="E155" s="292"/>
      <c r="F155" s="277"/>
      <c r="G155" s="110" t="s">
        <v>772</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c r="AE155" s="43"/>
      <c r="AF155" s="43"/>
      <c r="AG155" s="43">
        <v>10000</v>
      </c>
      <c r="AH155" s="43"/>
      <c r="AI155" s="244">
        <f>15492.96</f>
        <v>15492.96</v>
      </c>
    </row>
    <row r="156" spans="2:35" ht="37.5">
      <c r="B156" s="25"/>
      <c r="C156" s="25"/>
      <c r="D156" s="292"/>
      <c r="E156" s="292"/>
      <c r="F156" s="277"/>
      <c r="G156" s="110" t="s">
        <v>773</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92"/>
      <c r="E157" s="292"/>
      <c r="F157" s="277"/>
      <c r="G157" s="110" t="s">
        <v>774</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92"/>
      <c r="E158" s="292"/>
      <c r="F158" s="277"/>
      <c r="G158" s="110" t="s">
        <v>775</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v>150000</v>
      </c>
      <c r="AE158" s="43"/>
      <c r="AF158" s="43"/>
      <c r="AG158" s="43">
        <f>150000-143456</f>
        <v>6544</v>
      </c>
      <c r="AH158" s="43">
        <f>198716.6-198000</f>
        <v>716.6000000000058</v>
      </c>
      <c r="AI158" s="244">
        <v>341455.52</v>
      </c>
    </row>
    <row r="159" spans="2:35" ht="37.5">
      <c r="B159" s="25"/>
      <c r="C159" s="25"/>
      <c r="D159" s="292"/>
      <c r="E159" s="292"/>
      <c r="F159" s="277"/>
      <c r="G159" s="110" t="s">
        <v>776</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92"/>
      <c r="E160" s="292"/>
      <c r="F160" s="277"/>
      <c r="G160" s="110" t="s">
        <v>164</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92"/>
      <c r="E161" s="292"/>
      <c r="F161" s="277"/>
      <c r="G161" s="110" t="s">
        <v>549</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92"/>
      <c r="E162" s="292"/>
      <c r="F162" s="277"/>
      <c r="G162" s="110" t="s">
        <v>777</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92"/>
      <c r="E163" s="292"/>
      <c r="F163" s="277"/>
      <c r="G163" s="110" t="s">
        <v>778</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92"/>
      <c r="E164" s="292"/>
      <c r="F164" s="277"/>
      <c r="G164" s="110" t="s">
        <v>378</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92"/>
      <c r="E165" s="292"/>
      <c r="F165" s="277"/>
      <c r="G165" s="110" t="s">
        <v>379</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v>10000</v>
      </c>
      <c r="AE165" s="43">
        <v>30262.49</v>
      </c>
      <c r="AF165" s="43"/>
      <c r="AG165" s="43">
        <f>294737.51-294000+100</f>
        <v>837.5100000000093</v>
      </c>
      <c r="AH165" s="43">
        <f>125000-26000</f>
        <v>99000</v>
      </c>
      <c r="AI165" s="244">
        <f>6184.4+408312.98</f>
        <v>414497.38</v>
      </c>
    </row>
    <row r="166" spans="2:35" ht="43.5" customHeight="1">
      <c r="B166" s="25"/>
      <c r="C166" s="25"/>
      <c r="D166" s="292"/>
      <c r="E166" s="292"/>
      <c r="F166" s="277"/>
      <c r="G166" s="110" t="s">
        <v>166</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92"/>
      <c r="E167" s="292"/>
      <c r="F167" s="277"/>
      <c r="G167" s="110" t="s">
        <v>380</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92"/>
      <c r="E168" s="292"/>
      <c r="F168" s="277"/>
      <c r="G168" s="53" t="s">
        <v>674</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92"/>
      <c r="E169" s="292"/>
      <c r="F169" s="277"/>
      <c r="G169" s="53" t="s">
        <v>277</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92"/>
      <c r="E170" s="292"/>
      <c r="F170" s="277"/>
      <c r="G170" s="53" t="s">
        <v>278</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1" t="s">
        <v>223</v>
      </c>
      <c r="E171" s="291" t="s">
        <v>145</v>
      </c>
      <c r="F171" s="276" t="s">
        <v>144</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1589600</v>
      </c>
      <c r="AF171" s="50">
        <f t="shared" si="15"/>
        <v>345212</v>
      </c>
      <c r="AG171" s="50">
        <f t="shared" si="15"/>
        <v>2857963</v>
      </c>
      <c r="AH171" s="50">
        <f t="shared" si="15"/>
        <v>4309489.4</v>
      </c>
      <c r="AI171" s="50">
        <f t="shared" si="15"/>
        <v>9635193.780000001</v>
      </c>
    </row>
    <row r="172" spans="2:35" ht="37.5">
      <c r="B172" s="20"/>
      <c r="C172" s="20"/>
      <c r="D172" s="292"/>
      <c r="E172" s="292"/>
      <c r="F172" s="277"/>
      <c r="G172" s="110" t="s">
        <v>381</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92"/>
      <c r="E173" s="292"/>
      <c r="F173" s="277"/>
      <c r="G173" s="110" t="s">
        <v>495</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92"/>
      <c r="E174" s="292"/>
      <c r="F174" s="277"/>
      <c r="G174" s="110" t="s">
        <v>801</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92"/>
      <c r="E175" s="292"/>
      <c r="F175" s="277"/>
      <c r="G175" s="110" t="s">
        <v>657</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92"/>
      <c r="E176" s="292"/>
      <c r="F176" s="277"/>
      <c r="G176" s="331" t="s">
        <v>498</v>
      </c>
      <c r="H176" s="51"/>
      <c r="I176" s="94"/>
      <c r="J176" s="119"/>
      <c r="K176" s="36"/>
      <c r="L176" s="36"/>
      <c r="M176" s="36"/>
      <c r="N176" s="286">
        <v>3132</v>
      </c>
      <c r="O176" s="36"/>
      <c r="P176" s="123"/>
      <c r="Q176" s="51"/>
      <c r="R176" s="51"/>
      <c r="S176" s="51"/>
      <c r="T176" s="51"/>
      <c r="U176" s="51"/>
      <c r="V176" s="329">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292"/>
      <c r="E177" s="292"/>
      <c r="F177" s="277"/>
      <c r="G177" s="332"/>
      <c r="H177" s="51"/>
      <c r="I177" s="94"/>
      <c r="J177" s="119"/>
      <c r="K177" s="36"/>
      <c r="L177" s="36"/>
      <c r="M177" s="36"/>
      <c r="N177" s="287"/>
      <c r="O177" s="36"/>
      <c r="P177" s="123"/>
      <c r="Q177" s="51"/>
      <c r="R177" s="51"/>
      <c r="S177" s="51"/>
      <c r="T177" s="51"/>
      <c r="U177" s="51"/>
      <c r="V177" s="330"/>
      <c r="W177" s="36"/>
      <c r="X177" s="36"/>
      <c r="Y177" s="36"/>
      <c r="Z177" s="43"/>
      <c r="AA177" s="43"/>
      <c r="AB177" s="51"/>
      <c r="AC177" s="43"/>
      <c r="AD177" s="43">
        <v>15000</v>
      </c>
      <c r="AE177" s="43"/>
      <c r="AF177" s="43"/>
      <c r="AG177" s="43"/>
      <c r="AH177" s="43"/>
      <c r="AI177" s="36"/>
    </row>
    <row r="178" spans="2:35" ht="37.5">
      <c r="B178" s="20"/>
      <c r="C178" s="20"/>
      <c r="D178" s="292"/>
      <c r="E178" s="292"/>
      <c r="F178" s="277"/>
      <c r="G178" s="110" t="s">
        <v>406</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92"/>
      <c r="E179" s="292"/>
      <c r="F179" s="277"/>
      <c r="G179" s="110" t="s">
        <v>252</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92"/>
      <c r="E180" s="292"/>
      <c r="F180" s="277"/>
      <c r="G180" s="110" t="s">
        <v>253</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92"/>
      <c r="E181" s="292"/>
      <c r="F181" s="277"/>
      <c r="G181" s="110" t="s">
        <v>499</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92"/>
      <c r="E182" s="292"/>
      <c r="F182" s="277"/>
      <c r="G182" s="110" t="s">
        <v>254</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92"/>
      <c r="E183" s="292"/>
      <c r="F183" s="277"/>
      <c r="G183" s="110" t="s">
        <v>255</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92"/>
      <c r="E184" s="292"/>
      <c r="F184" s="277"/>
      <c r="G184" s="110" t="s">
        <v>658</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92"/>
      <c r="E185" s="292"/>
      <c r="F185" s="277"/>
      <c r="G185" s="110" t="s">
        <v>467</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92"/>
      <c r="E186" s="292"/>
      <c r="F186" s="277"/>
      <c r="G186" s="110" t="s">
        <v>468</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92"/>
      <c r="E187" s="292"/>
      <c r="F187" s="277"/>
      <c r="G187" s="110" t="s">
        <v>578</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92"/>
      <c r="E188" s="292"/>
      <c r="F188" s="277"/>
      <c r="G188" s="110" t="s">
        <v>407</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92"/>
      <c r="E189" s="292"/>
      <c r="F189" s="277"/>
      <c r="G189" s="110" t="s">
        <v>500</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92"/>
      <c r="E190" s="292"/>
      <c r="F190" s="277"/>
      <c r="G190" s="110" t="s">
        <v>82</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92"/>
      <c r="E191" s="292"/>
      <c r="F191" s="277"/>
      <c r="G191" s="110" t="s">
        <v>83</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92"/>
      <c r="E192" s="292"/>
      <c r="F192" s="277"/>
      <c r="G192" s="110" t="s">
        <v>84</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92"/>
      <c r="E193" s="292"/>
      <c r="F193" s="277"/>
      <c r="G193" s="110" t="s">
        <v>85</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92"/>
      <c r="E194" s="292"/>
      <c r="F194" s="277"/>
      <c r="G194" s="110" t="s">
        <v>408</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92"/>
      <c r="E195" s="292"/>
      <c r="F195" s="277"/>
      <c r="G195" s="110" t="s">
        <v>433</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f>
        <v>290235</v>
      </c>
    </row>
    <row r="196" spans="2:35" ht="37.5">
      <c r="B196" s="20"/>
      <c r="C196" s="20"/>
      <c r="D196" s="292"/>
      <c r="E196" s="292"/>
      <c r="F196" s="277"/>
      <c r="G196" s="110" t="s">
        <v>46</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92"/>
      <c r="E197" s="292"/>
      <c r="F197" s="277"/>
      <c r="G197" s="110" t="s">
        <v>265</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92"/>
      <c r="E198" s="292"/>
      <c r="F198" s="277"/>
      <c r="G198" s="110" t="s">
        <v>266</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c r="AE198" s="43"/>
      <c r="AF198" s="43"/>
      <c r="AG198" s="43">
        <v>125000</v>
      </c>
      <c r="AH198" s="43">
        <f>200000-150000+81500-7000</f>
        <v>124500</v>
      </c>
      <c r="AI198" s="51">
        <f>418294+6292.4</f>
        <v>424586.4</v>
      </c>
    </row>
    <row r="199" spans="2:35" ht="36" hidden="1">
      <c r="B199" s="20"/>
      <c r="C199" s="20"/>
      <c r="D199" s="292"/>
      <c r="E199" s="292"/>
      <c r="F199" s="277"/>
      <c r="G199" s="110" t="s">
        <v>267</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92"/>
      <c r="E200" s="292"/>
      <c r="F200" s="277"/>
      <c r="G200" s="110" t="s">
        <v>399</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292"/>
      <c r="E201" s="292"/>
      <c r="F201" s="277"/>
      <c r="G201" s="110" t="s">
        <v>268</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292"/>
      <c r="E202" s="292"/>
      <c r="F202" s="277"/>
      <c r="G202" s="110" t="s">
        <v>87</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92"/>
      <c r="E203" s="292"/>
      <c r="F203" s="277"/>
      <c r="G203" s="110" t="s">
        <v>726</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f>
        <v>135000</v>
      </c>
      <c r="AF203" s="43"/>
      <c r="AG203" s="43"/>
      <c r="AH203" s="43"/>
      <c r="AI203" s="51">
        <f>4500</f>
        <v>4500</v>
      </c>
    </row>
    <row r="204" spans="2:35" ht="54" hidden="1">
      <c r="B204" s="20"/>
      <c r="C204" s="20"/>
      <c r="D204" s="292"/>
      <c r="E204" s="292"/>
      <c r="F204" s="277"/>
      <c r="G204" s="110" t="s">
        <v>272</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92"/>
      <c r="E205" s="292"/>
      <c r="F205" s="277"/>
      <c r="G205" s="110" t="s">
        <v>502</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92"/>
      <c r="E206" s="292"/>
      <c r="F206" s="277"/>
      <c r="G206" s="110" t="s">
        <v>273</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92"/>
      <c r="E207" s="292"/>
      <c r="F207" s="277"/>
      <c r="G207" s="110" t="s">
        <v>274</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92"/>
      <c r="E208" s="292"/>
      <c r="F208" s="277"/>
      <c r="G208" s="110" t="s">
        <v>275</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36"/>
    </row>
    <row r="209" spans="2:35" ht="56.25">
      <c r="B209" s="20"/>
      <c r="C209" s="20"/>
      <c r="D209" s="292"/>
      <c r="E209" s="292"/>
      <c r="F209" s="277"/>
      <c r="G209" s="110" t="s">
        <v>276</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92"/>
      <c r="E210" s="292"/>
      <c r="F210" s="277"/>
      <c r="G210" s="110" t="s">
        <v>88</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12000+468774+24994.8</f>
        <v>505768.8</v>
      </c>
    </row>
    <row r="211" spans="2:35" ht="56.25">
      <c r="B211" s="20"/>
      <c r="C211" s="20"/>
      <c r="D211" s="292"/>
      <c r="E211" s="292"/>
      <c r="F211" s="277"/>
      <c r="G211" s="110" t="s">
        <v>560</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92"/>
      <c r="E212" s="292"/>
      <c r="F212" s="277"/>
      <c r="G212" s="110" t="s">
        <v>496</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92"/>
      <c r="E213" s="292"/>
      <c r="F213" s="277"/>
      <c r="G213" s="110" t="s">
        <v>561</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92"/>
      <c r="E214" s="292"/>
      <c r="F214" s="277"/>
      <c r="G214" s="110" t="s">
        <v>554</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f>
        <v>378136.57999999996</v>
      </c>
    </row>
    <row r="215" spans="2:35" ht="37.5">
      <c r="B215" s="20"/>
      <c r="C215" s="20"/>
      <c r="D215" s="292"/>
      <c r="E215" s="292"/>
      <c r="F215" s="277"/>
      <c r="G215" s="110" t="s">
        <v>555</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92"/>
      <c r="E216" s="292"/>
      <c r="F216" s="277"/>
      <c r="G216" s="110" t="s">
        <v>45</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92"/>
      <c r="E217" s="292"/>
      <c r="F217" s="277"/>
      <c r="G217" s="110" t="s">
        <v>556</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92"/>
      <c r="E218" s="292"/>
      <c r="F218" s="277"/>
      <c r="G218" s="110" t="s">
        <v>557</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92"/>
      <c r="E219" s="292"/>
      <c r="F219" s="277"/>
      <c r="G219" s="110" t="s">
        <v>781</v>
      </c>
      <c r="H219" s="51"/>
      <c r="I219" s="94"/>
      <c r="J219" s="119"/>
      <c r="K219" s="36"/>
      <c r="L219" s="36"/>
      <c r="M219" s="36"/>
      <c r="N219" s="93">
        <v>3132</v>
      </c>
      <c r="O219" s="36"/>
      <c r="P219" s="123"/>
      <c r="Q219" s="51">
        <v>82149</v>
      </c>
      <c r="R219" s="51"/>
      <c r="S219" s="51"/>
      <c r="T219" s="51" t="s">
        <v>411</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92"/>
      <c r="E220" s="292"/>
      <c r="F220" s="277"/>
      <c r="G220" s="110" t="s">
        <v>443</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92"/>
      <c r="E221" s="292"/>
      <c r="F221" s="277"/>
      <c r="G221" s="110" t="s">
        <v>503</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92"/>
      <c r="E222" s="292"/>
      <c r="F222" s="277"/>
      <c r="G222" s="110" t="s">
        <v>566</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f>
        <v>152000</v>
      </c>
      <c r="AE222" s="43">
        <v>100000</v>
      </c>
      <c r="AF222" s="43"/>
      <c r="AG222" s="43">
        <f>150000+7500</f>
        <v>157500</v>
      </c>
      <c r="AH222" s="43">
        <f>30000</f>
        <v>30000</v>
      </c>
      <c r="AI222" s="51">
        <f>2160+5040</f>
        <v>7200</v>
      </c>
    </row>
    <row r="223" spans="2:35" ht="75">
      <c r="B223" s="20"/>
      <c r="C223" s="20"/>
      <c r="D223" s="292"/>
      <c r="E223" s="292"/>
      <c r="F223" s="277"/>
      <c r="G223" s="110" t="s">
        <v>567</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92"/>
      <c r="E224" s="292"/>
      <c r="F224" s="277"/>
      <c r="G224" s="110" t="s">
        <v>269</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92"/>
      <c r="E225" s="292"/>
      <c r="F225" s="277"/>
      <c r="G225" s="110" t="s">
        <v>270</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92"/>
      <c r="E226" s="292"/>
      <c r="F226" s="277"/>
      <c r="G226" s="110" t="s">
        <v>271</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92"/>
      <c r="E227" s="292"/>
      <c r="F227" s="277"/>
      <c r="G227" s="110" t="s">
        <v>669</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f>
        <v>220000</v>
      </c>
      <c r="AE227" s="43">
        <f>10000</f>
        <v>10000</v>
      </c>
      <c r="AF227" s="43">
        <f>60000</f>
        <v>60000</v>
      </c>
      <c r="AG227" s="43"/>
      <c r="AH227" s="43">
        <f>49500</f>
        <v>49500</v>
      </c>
      <c r="AI227" s="36"/>
    </row>
    <row r="228" spans="2:35" ht="56.25">
      <c r="B228" s="20"/>
      <c r="C228" s="20"/>
      <c r="D228" s="292"/>
      <c r="E228" s="292"/>
      <c r="F228" s="277"/>
      <c r="G228" s="110" t="s">
        <v>670</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f>
        <v>143000</v>
      </c>
      <c r="AE228" s="43"/>
      <c r="AF228" s="43"/>
      <c r="AG228" s="43"/>
      <c r="AH228" s="43"/>
      <c r="AI228" s="51">
        <f>206046.62</f>
        <v>206046.62</v>
      </c>
    </row>
    <row r="229" spans="2:35" ht="56.25">
      <c r="B229" s="20"/>
      <c r="C229" s="20"/>
      <c r="D229" s="292"/>
      <c r="E229" s="292"/>
      <c r="F229" s="277"/>
      <c r="G229" s="110" t="s">
        <v>501</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92"/>
      <c r="E230" s="292"/>
      <c r="F230" s="277"/>
      <c r="G230" s="110" t="s">
        <v>256</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92"/>
      <c r="E231" s="292"/>
      <c r="F231" s="277"/>
      <c r="G231" s="110" t="s">
        <v>257</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92"/>
      <c r="E232" s="292"/>
      <c r="F232" s="277"/>
      <c r="G232" s="110" t="s">
        <v>258</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92"/>
      <c r="E233" s="292"/>
      <c r="F233" s="277"/>
      <c r="G233" s="110" t="s">
        <v>259</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92"/>
      <c r="E234" s="292"/>
      <c r="F234" s="277"/>
      <c r="G234" s="110" t="s">
        <v>260</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f>
        <v>643376.3600000001</v>
      </c>
    </row>
    <row r="235" spans="2:35" ht="56.25">
      <c r="B235" s="20"/>
      <c r="C235" s="20"/>
      <c r="D235" s="292"/>
      <c r="E235" s="292"/>
      <c r="F235" s="277"/>
      <c r="G235" s="110" t="s">
        <v>261</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92"/>
      <c r="E236" s="292"/>
      <c r="F236" s="277"/>
      <c r="G236" s="110" t="s">
        <v>497</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row>
    <row r="237" spans="2:35" ht="37.5">
      <c r="B237" s="20"/>
      <c r="C237" s="20"/>
      <c r="D237" s="292"/>
      <c r="E237" s="292"/>
      <c r="F237" s="277"/>
      <c r="G237" s="110" t="s">
        <v>718</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92"/>
      <c r="E238" s="292"/>
      <c r="F238" s="277"/>
      <c r="G238" s="110" t="s">
        <v>719</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92"/>
      <c r="E239" s="292"/>
      <c r="F239" s="277"/>
      <c r="G239" s="110" t="s">
        <v>720</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92"/>
      <c r="E240" s="292"/>
      <c r="F240" s="277"/>
      <c r="G240" s="110" t="s">
        <v>231</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f>
        <v>502000</v>
      </c>
      <c r="AE240" s="43"/>
      <c r="AF240" s="43">
        <f>37000+15000</f>
        <v>52000</v>
      </c>
      <c r="AG240" s="43">
        <f>20000</f>
        <v>20000</v>
      </c>
      <c r="AH240" s="43">
        <f>300000-20000+123000</f>
        <v>403000</v>
      </c>
      <c r="AI240" s="51">
        <v>20000</v>
      </c>
    </row>
    <row r="241" spans="2:35" ht="56.25">
      <c r="B241" s="20"/>
      <c r="C241" s="20"/>
      <c r="D241" s="292"/>
      <c r="E241" s="292"/>
      <c r="F241" s="277"/>
      <c r="G241" s="110" t="s">
        <v>232</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92"/>
      <c r="E242" s="292"/>
      <c r="F242" s="277"/>
      <c r="G242" s="110" t="s">
        <v>233</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56.25">
      <c r="B243" s="20"/>
      <c r="C243" s="20"/>
      <c r="D243" s="292"/>
      <c r="E243" s="292"/>
      <c r="F243" s="277"/>
      <c r="G243" s="110" t="s">
        <v>292</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92"/>
      <c r="E244" s="292"/>
      <c r="F244" s="277"/>
      <c r="G244" s="110" t="s">
        <v>446</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92"/>
      <c r="E245" s="292"/>
      <c r="F245" s="277"/>
      <c r="G245" s="110" t="s">
        <v>537</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f>
        <v>183529</v>
      </c>
    </row>
    <row r="246" spans="2:35" ht="41.25" customHeight="1">
      <c r="B246" s="20"/>
      <c r="C246" s="20"/>
      <c r="D246" s="292"/>
      <c r="E246" s="292"/>
      <c r="F246" s="277"/>
      <c r="G246" s="110" t="s">
        <v>538</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92"/>
      <c r="E247" s="292"/>
      <c r="F247" s="277"/>
      <c r="G247" s="110" t="s">
        <v>504</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92"/>
      <c r="E248" s="292"/>
      <c r="F248" s="277"/>
      <c r="G248" s="110" t="s">
        <v>539</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92"/>
      <c r="E249" s="292"/>
      <c r="F249" s="277"/>
      <c r="G249" s="110" t="s">
        <v>540</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92"/>
      <c r="E250" s="292"/>
      <c r="F250" s="277"/>
      <c r="G250" s="110" t="s">
        <v>541</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92"/>
      <c r="E251" s="292"/>
      <c r="F251" s="277"/>
      <c r="G251" s="110" t="s">
        <v>550</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92"/>
      <c r="E252" s="292"/>
      <c r="F252" s="277"/>
      <c r="G252" s="110" t="s">
        <v>551</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92"/>
      <c r="E253" s="292"/>
      <c r="F253" s="277"/>
      <c r="G253" s="110" t="s">
        <v>552</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f>
        <v>50889</v>
      </c>
    </row>
    <row r="254" spans="2:35" ht="93.75">
      <c r="B254" s="20"/>
      <c r="C254" s="20"/>
      <c r="D254" s="292"/>
      <c r="E254" s="292"/>
      <c r="F254" s="277"/>
      <c r="G254" s="110" t="s">
        <v>279</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92"/>
      <c r="E255" s="292"/>
      <c r="F255" s="277"/>
      <c r="G255" s="110" t="s">
        <v>280</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92"/>
      <c r="E256" s="292"/>
      <c r="F256" s="277"/>
      <c r="G256" s="110" t="s">
        <v>281</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92"/>
      <c r="E257" s="292"/>
      <c r="F257" s="277"/>
      <c r="G257" s="110" t="s">
        <v>282</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c r="AF257" s="43"/>
      <c r="AG257" s="43"/>
      <c r="AH257" s="43">
        <f>60000</f>
        <v>60000</v>
      </c>
      <c r="AI257" s="51">
        <f>1011.67+5712</f>
        <v>6723.67</v>
      </c>
    </row>
    <row r="258" spans="2:35" ht="37.5">
      <c r="B258" s="20"/>
      <c r="C258" s="20"/>
      <c r="D258" s="292"/>
      <c r="E258" s="292"/>
      <c r="F258" s="277"/>
      <c r="G258" s="110" t="s">
        <v>81</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f>
        <v>75000</v>
      </c>
      <c r="AE258" s="43"/>
      <c r="AF258" s="43"/>
      <c r="AG258" s="43"/>
      <c r="AH258" s="43">
        <v>80000</v>
      </c>
      <c r="AI258" s="51">
        <f>143663.4</f>
        <v>143663.4</v>
      </c>
    </row>
    <row r="259" spans="2:35" ht="37.5">
      <c r="B259" s="20"/>
      <c r="C259" s="20"/>
      <c r="D259" s="292"/>
      <c r="E259" s="292"/>
      <c r="F259" s="277"/>
      <c r="G259" s="110" t="s">
        <v>283</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f>
        <v>10000</v>
      </c>
      <c r="AE259" s="43"/>
      <c r="AF259" s="43"/>
      <c r="AG259" s="43">
        <f>55000+190000</f>
        <v>245000</v>
      </c>
      <c r="AH259" s="43"/>
      <c r="AI259" s="51">
        <f>48567</f>
        <v>48567</v>
      </c>
    </row>
    <row r="260" spans="2:35" ht="37.5">
      <c r="B260" s="20"/>
      <c r="C260" s="20"/>
      <c r="D260" s="292"/>
      <c r="E260" s="292"/>
      <c r="F260" s="277"/>
      <c r="G260" s="110" t="s">
        <v>284</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c r="AE260" s="43"/>
      <c r="AF260" s="43"/>
      <c r="AG260" s="43">
        <v>150000</v>
      </c>
      <c r="AH260" s="43">
        <v>100000</v>
      </c>
      <c r="AI260" s="51">
        <f>207681.76+3978.75</f>
        <v>211660.51</v>
      </c>
    </row>
    <row r="261" spans="2:35" ht="45.75" customHeight="1">
      <c r="B261" s="20"/>
      <c r="C261" s="20"/>
      <c r="D261" s="292"/>
      <c r="E261" s="292"/>
      <c r="F261" s="277"/>
      <c r="G261" s="110" t="s">
        <v>505</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92"/>
      <c r="E262" s="292"/>
      <c r="F262" s="277"/>
      <c r="G262" s="110" t="s">
        <v>285</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92"/>
      <c r="E263" s="292"/>
      <c r="F263" s="277"/>
      <c r="G263" s="110" t="s">
        <v>286</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92"/>
      <c r="E264" s="292"/>
      <c r="F264" s="277"/>
      <c r="G264" s="110" t="s">
        <v>542</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92"/>
      <c r="E265" s="292"/>
      <c r="F265" s="277"/>
      <c r="G265" s="110" t="s">
        <v>543</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92"/>
      <c r="E266" s="292"/>
      <c r="F266" s="277"/>
      <c r="G266" s="110" t="s">
        <v>544</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92"/>
      <c r="E267" s="292"/>
      <c r="F267" s="277"/>
      <c r="G267" s="110" t="s">
        <v>706</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92"/>
      <c r="E268" s="292"/>
      <c r="F268" s="277"/>
      <c r="G268" s="110" t="s">
        <v>707</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f>
        <v>0</v>
      </c>
      <c r="AE268" s="43"/>
      <c r="AF268" s="43">
        <f>20000-20000</f>
        <v>0</v>
      </c>
      <c r="AG268" s="43"/>
      <c r="AH268" s="43">
        <f>150000-32000</f>
        <v>118000</v>
      </c>
      <c r="AI268" s="51">
        <v>147257.5</v>
      </c>
    </row>
    <row r="269" spans="2:35" ht="90" hidden="1">
      <c r="B269" s="20"/>
      <c r="C269" s="20"/>
      <c r="D269" s="292"/>
      <c r="E269" s="292"/>
      <c r="F269" s="277"/>
      <c r="G269" s="53" t="s">
        <v>466</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74" t="s">
        <v>224</v>
      </c>
      <c r="E270" s="274" t="s">
        <v>347</v>
      </c>
      <c r="F270" s="276" t="s">
        <v>215</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0</v>
      </c>
      <c r="AF270" s="55">
        <f t="shared" si="17"/>
        <v>400000</v>
      </c>
      <c r="AG270" s="55">
        <f t="shared" si="17"/>
        <v>0</v>
      </c>
      <c r="AH270" s="55">
        <f t="shared" si="17"/>
        <v>200000</v>
      </c>
      <c r="AI270" s="55">
        <f t="shared" si="17"/>
        <v>1411104.6300000001</v>
      </c>
    </row>
    <row r="271" spans="2:35" ht="131.25">
      <c r="B271" s="20"/>
      <c r="C271" s="20"/>
      <c r="D271" s="318"/>
      <c r="E271" s="318"/>
      <c r="F271" s="277"/>
      <c r="G271" s="96" t="s">
        <v>201</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318"/>
      <c r="E272" s="318"/>
      <c r="F272" s="277"/>
      <c r="G272" s="96" t="s">
        <v>202</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318"/>
      <c r="E273" s="318"/>
      <c r="F273" s="277"/>
      <c r="G273" s="96" t="s">
        <v>73</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318"/>
      <c r="E274" s="318"/>
      <c r="F274" s="277"/>
      <c r="G274" s="96" t="s">
        <v>455</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f>
        <v>142778.82</v>
      </c>
    </row>
    <row r="275" spans="2:35" ht="37.5">
      <c r="B275" s="20"/>
      <c r="C275" s="20"/>
      <c r="D275" s="318"/>
      <c r="E275" s="318"/>
      <c r="F275" s="277"/>
      <c r="G275" s="110" t="s">
        <v>456</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318"/>
      <c r="E276" s="318"/>
      <c r="F276" s="277"/>
      <c r="G276" s="96" t="s">
        <v>420</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318"/>
      <c r="E277" s="318"/>
      <c r="F277" s="277"/>
      <c r="G277" s="96" t="s">
        <v>207</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318"/>
      <c r="E278" s="318"/>
      <c r="F278" s="277"/>
      <c r="G278" s="96" t="s">
        <v>208</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318"/>
      <c r="E279" s="318"/>
      <c r="F279" s="277"/>
      <c r="G279" s="96" t="s">
        <v>209</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318"/>
      <c r="E280" s="318"/>
      <c r="F280" s="277"/>
      <c r="G280" s="96" t="s">
        <v>576</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318"/>
      <c r="E281" s="318"/>
      <c r="F281" s="277"/>
      <c r="G281" s="96" t="s">
        <v>521</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c r="AE281" s="43"/>
      <c r="AF281" s="43"/>
      <c r="AG281" s="43"/>
      <c r="AH281" s="43"/>
      <c r="AI281" s="43">
        <f>17350.57+39680.04</f>
        <v>57030.61</v>
      </c>
    </row>
    <row r="282" spans="2:35" ht="56.25">
      <c r="B282" s="20"/>
      <c r="C282" s="20"/>
      <c r="D282" s="318"/>
      <c r="E282" s="318"/>
      <c r="F282" s="277"/>
      <c r="G282" s="96" t="s">
        <v>473</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318"/>
      <c r="E283" s="318"/>
      <c r="F283" s="277"/>
      <c r="G283" s="96" t="s">
        <v>672</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318"/>
      <c r="E284" s="318"/>
      <c r="F284" s="277"/>
      <c r="G284" s="96" t="s">
        <v>474</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c r="AE284" s="43"/>
      <c r="AF284" s="43"/>
      <c r="AG284" s="43"/>
      <c r="AH284" s="43"/>
      <c r="AI284" s="43"/>
    </row>
    <row r="285" spans="2:35" ht="56.25">
      <c r="B285" s="20"/>
      <c r="C285" s="20"/>
      <c r="D285" s="318"/>
      <c r="E285" s="318"/>
      <c r="F285" s="277"/>
      <c r="G285" s="96" t="s">
        <v>475</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f>
        <v>293947.19999999995</v>
      </c>
    </row>
    <row r="286" spans="2:35" ht="56.25">
      <c r="B286" s="20"/>
      <c r="C286" s="20"/>
      <c r="D286" s="318"/>
      <c r="E286" s="318"/>
      <c r="F286" s="277"/>
      <c r="G286" s="96" t="s">
        <v>205</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f>
        <v>146096.78</v>
      </c>
    </row>
    <row r="287" spans="2:35" ht="37.5">
      <c r="B287" s="20"/>
      <c r="C287" s="20"/>
      <c r="D287" s="318"/>
      <c r="E287" s="318"/>
      <c r="F287" s="277"/>
      <c r="G287" s="96" t="s">
        <v>178</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321"/>
      <c r="E288" s="321"/>
      <c r="F288" s="277"/>
      <c r="G288" s="96" t="s">
        <v>647</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f>
        <v>200000</v>
      </c>
      <c r="AE288" s="43"/>
      <c r="AF288" s="43">
        <f>400000</f>
        <v>400000</v>
      </c>
      <c r="AG288" s="43"/>
      <c r="AH288" s="43">
        <v>200000</v>
      </c>
      <c r="AI288" s="43">
        <f>21369.6+155684.7+51071.4+169716</f>
        <v>397841.7</v>
      </c>
    </row>
    <row r="289" spans="2:35" ht="18.75">
      <c r="B289" s="20"/>
      <c r="C289" s="20"/>
      <c r="D289" s="319" t="s">
        <v>59</v>
      </c>
      <c r="E289" s="319" t="s">
        <v>58</v>
      </c>
      <c r="F289" s="320" t="s">
        <v>57</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367732.71</v>
      </c>
    </row>
    <row r="290" spans="2:35" ht="93.75">
      <c r="B290" s="20"/>
      <c r="C290" s="20"/>
      <c r="D290" s="319"/>
      <c r="E290" s="319"/>
      <c r="F290" s="320"/>
      <c r="G290" s="96" t="s">
        <v>60</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f>
        <v>367732.71</v>
      </c>
    </row>
    <row r="291" spans="2:35" ht="18.75">
      <c r="B291" s="20"/>
      <c r="C291" s="20"/>
      <c r="D291" s="319" t="s">
        <v>206</v>
      </c>
      <c r="E291" s="319" t="s">
        <v>401</v>
      </c>
      <c r="F291" s="320" t="s">
        <v>210</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319"/>
      <c r="E292" s="319"/>
      <c r="F292" s="320"/>
      <c r="G292" s="110" t="s">
        <v>211</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74" t="s">
        <v>225</v>
      </c>
      <c r="E293" s="274" t="s">
        <v>401</v>
      </c>
      <c r="F293" s="276" t="s">
        <v>400</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318"/>
      <c r="E294" s="318"/>
      <c r="F294" s="277"/>
      <c r="G294" s="131" t="s">
        <v>212</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318"/>
      <c r="E295" s="318"/>
      <c r="F295" s="277"/>
      <c r="G295" s="131" t="s">
        <v>119</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74" t="s">
        <v>626</v>
      </c>
      <c r="E296" s="274" t="s">
        <v>625</v>
      </c>
      <c r="F296" s="276" t="s">
        <v>9</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98125</v>
      </c>
    </row>
    <row r="297" spans="2:35" ht="56.25">
      <c r="B297" s="20"/>
      <c r="C297" s="20"/>
      <c r="D297" s="318"/>
      <c r="E297" s="318"/>
      <c r="F297" s="277"/>
      <c r="G297" s="96" t="s">
        <v>120</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318"/>
      <c r="E298" s="318"/>
      <c r="F298" s="277"/>
      <c r="G298" s="96" t="s">
        <v>184</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318"/>
      <c r="E299" s="318"/>
      <c r="F299" s="277"/>
      <c r="G299" s="96" t="s">
        <v>185</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318"/>
      <c r="E300" s="318"/>
      <c r="F300" s="277"/>
      <c r="G300" s="96" t="s">
        <v>180</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row>
    <row r="301" spans="2:35" ht="18.75">
      <c r="B301" s="25"/>
      <c r="C301" s="25"/>
      <c r="D301" s="291" t="s">
        <v>627</v>
      </c>
      <c r="E301" s="291" t="s">
        <v>630</v>
      </c>
      <c r="F301" s="276" t="s">
        <v>226</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92"/>
      <c r="E302" s="292"/>
      <c r="F302" s="277"/>
      <c r="G302" s="110" t="s">
        <v>181</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92"/>
      <c r="E303" s="292"/>
      <c r="F303" s="277"/>
      <c r="G303" s="131" t="s">
        <v>182</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92"/>
      <c r="E304" s="292"/>
      <c r="F304" s="277"/>
      <c r="G304" s="131" t="s">
        <v>659</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92"/>
      <c r="E305" s="292"/>
      <c r="F305" s="277"/>
      <c r="G305" s="131" t="s">
        <v>47</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92"/>
      <c r="E306" s="292"/>
      <c r="F306" s="277"/>
      <c r="G306" s="110" t="s">
        <v>532</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92"/>
      <c r="E307" s="292"/>
      <c r="F307" s="277"/>
      <c r="G307" s="132" t="s">
        <v>533</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22" t="s">
        <v>534</v>
      </c>
      <c r="E308" s="319" t="s">
        <v>630</v>
      </c>
      <c r="F308" s="320" t="s">
        <v>522</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22"/>
      <c r="E309" s="319"/>
      <c r="F309" s="320"/>
      <c r="G309" s="132" t="s">
        <v>523</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22"/>
      <c r="E310" s="319"/>
      <c r="F310" s="320"/>
      <c r="G310" s="132" t="s">
        <v>524</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22"/>
      <c r="E311" s="319"/>
      <c r="F311" s="320"/>
      <c r="G311" s="132" t="s">
        <v>525</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22"/>
      <c r="E312" s="319"/>
      <c r="F312" s="320"/>
      <c r="G312" s="132" t="s">
        <v>633</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22"/>
      <c r="E313" s="319"/>
      <c r="F313" s="320"/>
      <c r="G313" s="132" t="s">
        <v>634</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22"/>
      <c r="E314" s="319"/>
      <c r="F314" s="320"/>
      <c r="G314" s="132" t="s">
        <v>479</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22"/>
      <c r="E315" s="319"/>
      <c r="F315" s="320"/>
      <c r="G315" s="132" t="s">
        <v>172</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22"/>
      <c r="E316" s="319"/>
      <c r="F316" s="320"/>
      <c r="G316" s="132" t="s">
        <v>604</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22"/>
      <c r="E317" s="319"/>
      <c r="F317" s="320"/>
      <c r="G317" s="132" t="s">
        <v>300</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22"/>
      <c r="E318" s="319"/>
      <c r="F318" s="320"/>
      <c r="G318" s="132" t="s">
        <v>403</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74" t="s">
        <v>628</v>
      </c>
      <c r="E319" s="274" t="s">
        <v>631</v>
      </c>
      <c r="F319" s="276" t="s">
        <v>478</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935144.2</v>
      </c>
    </row>
    <row r="320" spans="2:35" ht="37.5">
      <c r="B320" s="20"/>
      <c r="C320" s="20"/>
      <c r="D320" s="318"/>
      <c r="E320" s="318"/>
      <c r="F320" s="277"/>
      <c r="G320" s="132" t="s">
        <v>681</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318"/>
      <c r="E321" s="318"/>
      <c r="F321" s="277"/>
      <c r="G321" s="132" t="s">
        <v>510</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318"/>
      <c r="E322" s="318"/>
      <c r="F322" s="277"/>
      <c r="G322" s="132" t="s">
        <v>511</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318"/>
      <c r="E323" s="318"/>
      <c r="F323" s="277"/>
      <c r="G323" s="132" t="s">
        <v>512</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318"/>
      <c r="E324" s="318"/>
      <c r="F324" s="277"/>
      <c r="G324" s="132" t="s">
        <v>513</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318"/>
      <c r="E325" s="318"/>
      <c r="F325" s="277"/>
      <c r="G325" s="132" t="s">
        <v>516</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318"/>
      <c r="E326" s="318"/>
      <c r="F326" s="277"/>
      <c r="G326" s="132" t="s">
        <v>517</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318"/>
      <c r="E327" s="318"/>
      <c r="F327" s="277"/>
      <c r="G327" s="132" t="s">
        <v>518</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318"/>
      <c r="E328" s="318"/>
      <c r="F328" s="277"/>
      <c r="G328" s="96" t="s">
        <v>519</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318"/>
      <c r="E329" s="318"/>
      <c r="F329" s="277"/>
      <c r="G329" s="96" t="s">
        <v>520</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f>
        <v>618884</v>
      </c>
    </row>
    <row r="330" spans="2:35" ht="75">
      <c r="B330" s="20"/>
      <c r="C330" s="20"/>
      <c r="D330" s="318"/>
      <c r="E330" s="318"/>
      <c r="F330" s="277"/>
      <c r="G330" s="96" t="s">
        <v>173</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91" t="s">
        <v>629</v>
      </c>
      <c r="E331" s="291" t="s">
        <v>347</v>
      </c>
      <c r="F331" s="276" t="s">
        <v>346</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738248.4099999999</v>
      </c>
    </row>
    <row r="332" spans="2:35" ht="37.5">
      <c r="B332" s="25"/>
      <c r="C332" s="25"/>
      <c r="D332" s="292"/>
      <c r="E332" s="292"/>
      <c r="F332" s="277"/>
      <c r="G332" s="110" t="s">
        <v>174</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92"/>
      <c r="E333" s="292"/>
      <c r="F333" s="277"/>
      <c r="G333" s="110" t="s">
        <v>175</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92"/>
      <c r="E334" s="292"/>
      <c r="F334" s="277"/>
      <c r="G334" s="110" t="s">
        <v>176</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92"/>
      <c r="E335" s="292"/>
      <c r="F335" s="277"/>
      <c r="G335" s="110" t="s">
        <v>766</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92"/>
      <c r="E336" s="292"/>
      <c r="F336" s="277"/>
      <c r="G336" s="110" t="s">
        <v>30</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92"/>
      <c r="E337" s="292"/>
      <c r="F337" s="277"/>
      <c r="G337" s="110" t="s">
        <v>31</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row>
    <row r="338" spans="2:35" ht="75">
      <c r="B338" s="25"/>
      <c r="C338" s="25"/>
      <c r="D338" s="292"/>
      <c r="E338" s="292"/>
      <c r="F338" s="277"/>
      <c r="G338" s="110" t="s">
        <v>218</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92"/>
      <c r="E339" s="292"/>
      <c r="F339" s="277"/>
      <c r="G339" s="110" t="s">
        <v>66</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92"/>
      <c r="E340" s="292"/>
      <c r="F340" s="277"/>
      <c r="G340" s="110" t="s">
        <v>67</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92"/>
      <c r="E341" s="292"/>
      <c r="F341" s="277"/>
      <c r="G341" s="110" t="s">
        <v>68</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92"/>
      <c r="E342" s="292"/>
      <c r="F342" s="277"/>
      <c r="G342" s="110" t="s">
        <v>69</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92"/>
      <c r="E343" s="292"/>
      <c r="F343" s="277"/>
      <c r="G343" s="110" t="s">
        <v>70</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92"/>
      <c r="E344" s="292"/>
      <c r="F344" s="277"/>
      <c r="G344" s="110" t="s">
        <v>12</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92"/>
      <c r="E345" s="292"/>
      <c r="F345" s="277"/>
      <c r="G345" s="110" t="s">
        <v>13</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92"/>
      <c r="E346" s="292"/>
      <c r="F346" s="277"/>
      <c r="G346" s="110" t="s">
        <v>494</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92"/>
      <c r="E347" s="292"/>
      <c r="F347" s="277"/>
      <c r="G347" s="110" t="s">
        <v>14</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92"/>
      <c r="E348" s="292"/>
      <c r="F348" s="277"/>
      <c r="G348" s="110" t="s">
        <v>780</v>
      </c>
      <c r="H348" s="113"/>
      <c r="I348" s="125"/>
      <c r="J348" s="115"/>
      <c r="K348" s="116"/>
      <c r="L348" s="116"/>
      <c r="M348" s="116"/>
      <c r="N348" s="93">
        <v>3132</v>
      </c>
      <c r="O348" s="134"/>
      <c r="P348" s="134"/>
      <c r="Q348" s="54">
        <v>150000</v>
      </c>
      <c r="R348" s="54"/>
      <c r="S348" s="54">
        <v>40000</v>
      </c>
      <c r="T348" s="54" t="s">
        <v>411</v>
      </c>
      <c r="U348" s="54"/>
      <c r="V348" s="54">
        <f>150000+40000</f>
        <v>190000</v>
      </c>
      <c r="W348" s="43"/>
      <c r="X348" s="43"/>
      <c r="Y348" s="43"/>
      <c r="Z348" s="43">
        <v>50000</v>
      </c>
      <c r="AA348" s="43">
        <f>100000-80000</f>
        <v>20000</v>
      </c>
      <c r="AB348" s="43"/>
      <c r="AC348" s="43">
        <f>40000+80000</f>
        <v>120000</v>
      </c>
      <c r="AD348" s="43"/>
      <c r="AE348" s="43"/>
      <c r="AF348" s="43"/>
      <c r="AG348" s="43"/>
      <c r="AH348" s="43"/>
      <c r="AI348" s="43">
        <v>92715.8</v>
      </c>
    </row>
    <row r="349" spans="2:35" ht="75">
      <c r="B349" s="20"/>
      <c r="C349" s="20"/>
      <c r="D349" s="292"/>
      <c r="E349" s="292"/>
      <c r="F349" s="277"/>
      <c r="G349" s="110" t="s">
        <v>471</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92"/>
      <c r="E350" s="292"/>
      <c r="F350" s="277"/>
      <c r="G350" s="132" t="s">
        <v>472</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92"/>
      <c r="E351" s="292"/>
      <c r="F351" s="277"/>
      <c r="G351" s="132" t="s">
        <v>752</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92"/>
      <c r="E352" s="292"/>
      <c r="F352" s="277"/>
      <c r="G352" s="132" t="s">
        <v>338</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92"/>
      <c r="E353" s="292"/>
      <c r="F353" s="277"/>
      <c r="G353" s="132" t="s">
        <v>339</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91" t="s">
        <v>678</v>
      </c>
      <c r="E354" s="291" t="s">
        <v>348</v>
      </c>
      <c r="F354" s="276" t="s">
        <v>800</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323"/>
      <c r="E355" s="323"/>
      <c r="F355" s="290"/>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91" t="s">
        <v>349</v>
      </c>
      <c r="E356" s="291" t="s">
        <v>352</v>
      </c>
      <c r="F356" s="276" t="s">
        <v>353</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92"/>
      <c r="E357" s="292"/>
      <c r="F357" s="277"/>
      <c r="G357" s="110" t="s">
        <v>640</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92"/>
      <c r="E358" s="292"/>
      <c r="F358" s="277"/>
      <c r="G358" s="110" t="s">
        <v>632</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92"/>
      <c r="E359" s="292"/>
      <c r="F359" s="277"/>
      <c r="G359" s="110" t="s">
        <v>48</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92"/>
      <c r="E360" s="292"/>
      <c r="F360" s="277"/>
      <c r="G360" s="132" t="s">
        <v>152</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92"/>
      <c r="E361" s="292"/>
      <c r="F361" s="277"/>
      <c r="G361" s="132" t="s">
        <v>6</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92"/>
      <c r="E362" s="292"/>
      <c r="F362" s="277"/>
      <c r="G362" s="132" t="s">
        <v>572</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92"/>
      <c r="E363" s="292"/>
      <c r="F363" s="277"/>
      <c r="G363" s="132" t="s">
        <v>573</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92"/>
      <c r="E364" s="292"/>
      <c r="F364" s="277"/>
      <c r="G364" s="132" t="s">
        <v>49</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92"/>
      <c r="E365" s="292"/>
      <c r="F365" s="277"/>
      <c r="G365" s="132" t="s">
        <v>574</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92"/>
      <c r="E366" s="292"/>
      <c r="F366" s="277"/>
      <c r="G366" s="132" t="s">
        <v>241</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92"/>
      <c r="E367" s="292"/>
      <c r="F367" s="277"/>
      <c r="G367" s="132" t="s">
        <v>177</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92"/>
      <c r="E368" s="292"/>
      <c r="F368" s="277"/>
      <c r="G368" s="132" t="s">
        <v>486</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92"/>
      <c r="E369" s="292"/>
      <c r="F369" s="277"/>
      <c r="G369" s="132" t="s">
        <v>487</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91" t="s">
        <v>351</v>
      </c>
      <c r="E370" s="291" t="s">
        <v>352</v>
      </c>
      <c r="F370" s="276" t="s">
        <v>355</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92"/>
      <c r="E371" s="292"/>
      <c r="F371" s="277"/>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91" t="s">
        <v>137</v>
      </c>
      <c r="E372" s="291" t="s">
        <v>138</v>
      </c>
      <c r="F372" s="276" t="s">
        <v>356</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1552367.2999999998</v>
      </c>
    </row>
    <row r="373" spans="2:35" ht="112.5">
      <c r="B373" s="25"/>
      <c r="C373" s="25"/>
      <c r="D373" s="292"/>
      <c r="E373" s="292"/>
      <c r="F373" s="277"/>
      <c r="G373" s="110" t="s">
        <v>297</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92"/>
      <c r="E374" s="292"/>
      <c r="F374" s="277"/>
      <c r="G374" s="110" t="s">
        <v>298</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92"/>
      <c r="E375" s="292"/>
      <c r="F375" s="277"/>
      <c r="G375" s="110" t="s">
        <v>434</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92"/>
      <c r="E376" s="292"/>
      <c r="F376" s="277"/>
      <c r="G376" s="110" t="s">
        <v>451</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92"/>
      <c r="E377" s="292"/>
      <c r="F377" s="277"/>
      <c r="G377" s="110" t="s">
        <v>53</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92"/>
      <c r="E378" s="292"/>
      <c r="F378" s="277"/>
      <c r="G378" s="110" t="s">
        <v>116</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f>
        <v>81272.45</v>
      </c>
    </row>
    <row r="379" spans="2:35" ht="72" hidden="1">
      <c r="B379" s="25"/>
      <c r="C379" s="25"/>
      <c r="D379" s="292"/>
      <c r="E379" s="292"/>
      <c r="F379" s="277"/>
      <c r="G379" s="110" t="s">
        <v>488</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92"/>
      <c r="E380" s="292"/>
      <c r="F380" s="277"/>
      <c r="G380" s="110" t="s">
        <v>489</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91" t="s">
        <v>227</v>
      </c>
      <c r="E381" s="291" t="s">
        <v>145</v>
      </c>
      <c r="F381" s="276" t="s">
        <v>357</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3909421.3000000003</v>
      </c>
    </row>
    <row r="382" spans="2:35" ht="56.25">
      <c r="B382" s="20"/>
      <c r="C382" s="20"/>
      <c r="D382" s="292"/>
      <c r="E382" s="292"/>
      <c r="F382" s="277"/>
      <c r="G382" s="110" t="s">
        <v>802</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92"/>
      <c r="E383" s="292"/>
      <c r="F383" s="277"/>
      <c r="G383" s="110" t="s">
        <v>646</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92"/>
      <c r="E384" s="292"/>
      <c r="F384" s="277"/>
      <c r="G384" s="110" t="s">
        <v>803</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92"/>
      <c r="E385" s="292"/>
      <c r="F385" s="277"/>
      <c r="G385" s="110" t="s">
        <v>118</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92"/>
      <c r="E386" s="292"/>
      <c r="F386" s="277"/>
      <c r="G386" s="110" t="s">
        <v>331</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c r="AF386" s="51"/>
      <c r="AG386" s="51"/>
      <c r="AH386" s="51">
        <v>130000</v>
      </c>
      <c r="AI386" s="51">
        <f>3926+0.8+159703</f>
        <v>163629.8</v>
      </c>
    </row>
    <row r="387" spans="2:35" ht="56.25">
      <c r="B387" s="20"/>
      <c r="C387" s="20"/>
      <c r="D387" s="292"/>
      <c r="E387" s="292"/>
      <c r="F387" s="277"/>
      <c r="G387" s="110" t="s">
        <v>332</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92"/>
      <c r="E388" s="292"/>
      <c r="F388" s="277"/>
      <c r="G388" s="110" t="s">
        <v>382</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c r="AF388" s="51"/>
      <c r="AG388" s="51">
        <v>10000</v>
      </c>
      <c r="AH388" s="51">
        <v>50000</v>
      </c>
      <c r="AI388" s="51"/>
    </row>
    <row r="389" spans="2:35" ht="56.25">
      <c r="B389" s="20"/>
      <c r="C389" s="20"/>
      <c r="D389" s="292"/>
      <c r="E389" s="292"/>
      <c r="F389" s="277"/>
      <c r="G389" s="110" t="s">
        <v>333</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92"/>
      <c r="E390" s="292"/>
      <c r="F390" s="277"/>
      <c r="G390" s="110" t="s">
        <v>334</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92"/>
      <c r="E391" s="292"/>
      <c r="F391" s="277"/>
      <c r="G391" s="110" t="s">
        <v>199</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92"/>
      <c r="E392" s="292"/>
      <c r="F392" s="277"/>
      <c r="G392" s="110" t="s">
        <v>645</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92"/>
      <c r="E393" s="292"/>
      <c r="F393" s="277"/>
      <c r="G393" s="110" t="s">
        <v>117</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92"/>
      <c r="E394" s="292"/>
      <c r="F394" s="277"/>
      <c r="G394" s="53" t="s">
        <v>384</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385</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f>
        <v>1076274.27</v>
      </c>
    </row>
    <row r="395" spans="2:35" ht="79.5" customHeight="1">
      <c r="B395" s="20"/>
      <c r="C395" s="20"/>
      <c r="D395" s="292"/>
      <c r="E395" s="292"/>
      <c r="F395" s="277"/>
      <c r="G395" s="53" t="s">
        <v>386</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row>
    <row r="396" spans="2:35" ht="77.25" customHeight="1">
      <c r="B396" s="20"/>
      <c r="C396" s="20"/>
      <c r="D396" s="292"/>
      <c r="E396" s="292"/>
      <c r="F396" s="277"/>
      <c r="G396" s="53" t="s">
        <v>387</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91" t="s">
        <v>228</v>
      </c>
      <c r="E397" s="291" t="s">
        <v>347</v>
      </c>
      <c r="F397" s="276" t="s">
        <v>785</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0</v>
      </c>
    </row>
    <row r="398" spans="2:35" ht="78" customHeight="1">
      <c r="B398" s="25"/>
      <c r="C398" s="25"/>
      <c r="D398" s="292"/>
      <c r="E398" s="292"/>
      <c r="F398" s="277"/>
      <c r="G398" s="110" t="s">
        <v>304</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92"/>
      <c r="E399" s="292"/>
      <c r="F399" s="277"/>
      <c r="G399" s="110" t="s">
        <v>52</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292"/>
      <c r="E400" s="292"/>
      <c r="F400" s="277"/>
      <c r="G400" s="110" t="s">
        <v>51</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row>
    <row r="401" spans="2:35" ht="66" customHeight="1">
      <c r="B401" s="25"/>
      <c r="C401" s="25"/>
      <c r="D401" s="292"/>
      <c r="E401" s="292"/>
      <c r="F401" s="277"/>
      <c r="G401" s="331" t="s">
        <v>50</v>
      </c>
      <c r="H401" s="51"/>
      <c r="I401" s="94"/>
      <c r="J401" s="119"/>
      <c r="K401" s="36"/>
      <c r="L401" s="36"/>
      <c r="M401" s="36"/>
      <c r="N401" s="286">
        <v>3142</v>
      </c>
      <c r="O401" s="119"/>
      <c r="P401" s="119"/>
      <c r="Q401" s="51"/>
      <c r="R401" s="51"/>
      <c r="S401" s="51"/>
      <c r="T401" s="51"/>
      <c r="U401" s="51"/>
      <c r="V401" s="329">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92"/>
      <c r="E402" s="292"/>
      <c r="F402" s="277"/>
      <c r="G402" s="332"/>
      <c r="H402" s="51"/>
      <c r="I402" s="94"/>
      <c r="J402" s="119"/>
      <c r="K402" s="36"/>
      <c r="L402" s="36"/>
      <c r="M402" s="36"/>
      <c r="N402" s="287"/>
      <c r="O402" s="119"/>
      <c r="P402" s="119"/>
      <c r="Q402" s="51"/>
      <c r="R402" s="51"/>
      <c r="S402" s="51"/>
      <c r="T402" s="51"/>
      <c r="U402" s="51"/>
      <c r="V402" s="330"/>
      <c r="W402" s="43"/>
      <c r="X402" s="43"/>
      <c r="Y402" s="43"/>
      <c r="Z402" s="43"/>
      <c r="AA402" s="43"/>
      <c r="AB402" s="43"/>
      <c r="AC402" s="43"/>
      <c r="AD402" s="43">
        <f>135000</f>
        <v>135000</v>
      </c>
      <c r="AE402" s="43"/>
      <c r="AF402" s="43"/>
      <c r="AG402" s="43"/>
      <c r="AH402" s="43"/>
      <c r="AI402" s="43"/>
    </row>
    <row r="403" spans="2:35" ht="37.5">
      <c r="B403" s="25"/>
      <c r="C403" s="25"/>
      <c r="D403" s="292"/>
      <c r="E403" s="292"/>
      <c r="F403" s="277"/>
      <c r="G403" s="110" t="s">
        <v>305</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74" t="s">
        <v>655</v>
      </c>
      <c r="E404" s="274" t="s">
        <v>138</v>
      </c>
      <c r="F404" s="276" t="s">
        <v>392</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1251915.11</v>
      </c>
    </row>
    <row r="405" spans="2:35" ht="56.25">
      <c r="B405" s="20"/>
      <c r="C405" s="28"/>
      <c r="D405" s="318"/>
      <c r="E405" s="318"/>
      <c r="F405" s="277"/>
      <c r="G405" s="139" t="s">
        <v>306</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318"/>
      <c r="E406" s="318"/>
      <c r="F406" s="277"/>
      <c r="G406" s="110" t="s">
        <v>307</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318"/>
      <c r="E407" s="318"/>
      <c r="F407" s="277"/>
      <c r="G407" s="139" t="s">
        <v>526</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318"/>
      <c r="E408" s="318"/>
      <c r="F408" s="277"/>
      <c r="G408" s="110" t="s">
        <v>308</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318"/>
      <c r="E409" s="318"/>
      <c r="F409" s="277"/>
      <c r="G409" s="96" t="s">
        <v>309</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318"/>
      <c r="E410" s="318"/>
      <c r="F410" s="277"/>
      <c r="G410" s="141" t="s">
        <v>527</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318"/>
      <c r="E411" s="318"/>
      <c r="F411" s="277"/>
      <c r="G411" s="143" t="s">
        <v>310</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318"/>
      <c r="E412" s="318"/>
      <c r="F412" s="277"/>
      <c r="G412" s="143" t="s">
        <v>55</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318"/>
      <c r="E413" s="318"/>
      <c r="F413" s="277"/>
      <c r="G413" s="143" t="s">
        <v>54</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318"/>
      <c r="E414" s="318"/>
      <c r="F414" s="277"/>
      <c r="G414" s="143" t="s">
        <v>200</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318"/>
      <c r="E415" s="318"/>
      <c r="F415" s="277"/>
      <c r="G415" s="141" t="s">
        <v>189</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318"/>
      <c r="E416" s="318"/>
      <c r="F416" s="277"/>
      <c r="G416" s="143" t="s">
        <v>190</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318"/>
      <c r="E417" s="318"/>
      <c r="F417" s="277"/>
      <c r="G417" s="141" t="s">
        <v>528</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764527.5900000001</v>
      </c>
    </row>
    <row r="418" spans="2:35" ht="93.75">
      <c r="B418" s="20"/>
      <c r="C418" s="28"/>
      <c r="D418" s="318"/>
      <c r="E418" s="318"/>
      <c r="F418" s="277"/>
      <c r="G418" s="143" t="s">
        <v>191</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318"/>
      <c r="E419" s="318"/>
      <c r="F419" s="277"/>
      <c r="G419" s="143" t="s">
        <v>192</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318"/>
      <c r="E420" s="318"/>
      <c r="F420" s="277"/>
      <c r="G420" s="143" t="s">
        <v>660</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f>
        <v>583600.04</v>
      </c>
    </row>
    <row r="421" spans="2:35" ht="112.5">
      <c r="B421" s="20"/>
      <c r="C421" s="28"/>
      <c r="D421" s="318"/>
      <c r="E421" s="318"/>
      <c r="F421" s="277"/>
      <c r="G421" s="143" t="s">
        <v>447</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318"/>
      <c r="E422" s="318"/>
      <c r="F422" s="277"/>
      <c r="G422" s="143" t="s">
        <v>448</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593</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3955175.7999999993</v>
      </c>
    </row>
    <row r="424" spans="2:35" ht="18.75">
      <c r="B424" s="25"/>
      <c r="C424" s="25"/>
      <c r="D424" s="291" t="s">
        <v>229</v>
      </c>
      <c r="E424" s="291" t="s">
        <v>606</v>
      </c>
      <c r="F424" s="276" t="s">
        <v>147</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2789639.92</v>
      </c>
    </row>
    <row r="425" spans="2:35" ht="56.25">
      <c r="B425" s="20"/>
      <c r="C425" s="20"/>
      <c r="D425" s="292"/>
      <c r="E425" s="292"/>
      <c r="F425" s="277"/>
      <c r="G425" s="148" t="s">
        <v>663</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92"/>
      <c r="E426" s="292"/>
      <c r="F426" s="277"/>
      <c r="G426" s="148" t="s">
        <v>310</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f>
        <v>75000</v>
      </c>
    </row>
    <row r="427" spans="2:35" ht="75">
      <c r="B427" s="20"/>
      <c r="C427" s="20"/>
      <c r="D427" s="292"/>
      <c r="E427" s="292"/>
      <c r="F427" s="277"/>
      <c r="G427" s="148" t="s">
        <v>654</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92"/>
      <c r="E428" s="292"/>
      <c r="F428" s="277"/>
      <c r="G428" s="148" t="s">
        <v>452</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92"/>
      <c r="E429" s="292"/>
      <c r="F429" s="277"/>
      <c r="G429" s="148" t="s">
        <v>680</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92"/>
      <c r="E430" s="292"/>
      <c r="F430" s="277"/>
      <c r="G430" s="148" t="s">
        <v>193</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92"/>
      <c r="E431" s="292"/>
      <c r="F431" s="277"/>
      <c r="G431" s="148" t="s">
        <v>571</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92"/>
      <c r="E432" s="292"/>
      <c r="F432" s="277"/>
      <c r="G432" s="148" t="s">
        <v>817</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92"/>
      <c r="E433" s="292"/>
      <c r="F433" s="277"/>
      <c r="G433" s="148" t="s">
        <v>664</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92"/>
      <c r="E434" s="292"/>
      <c r="F434" s="277"/>
      <c r="G434" s="96" t="s">
        <v>717</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f>
        <v>910457.2199999999</v>
      </c>
    </row>
    <row r="435" spans="2:35" ht="75">
      <c r="B435" s="20"/>
      <c r="C435" s="20"/>
      <c r="D435" s="292"/>
      <c r="E435" s="292"/>
      <c r="F435" s="277"/>
      <c r="G435" s="148" t="s">
        <v>238</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92"/>
      <c r="E436" s="292"/>
      <c r="F436" s="277"/>
      <c r="G436" s="148" t="s">
        <v>316</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92"/>
      <c r="E437" s="292"/>
      <c r="F437" s="277"/>
      <c r="G437" s="148" t="s">
        <v>239</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92"/>
      <c r="E438" s="292"/>
      <c r="F438" s="277"/>
      <c r="G438" s="148" t="s">
        <v>240</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f>
        <v>370287.6</v>
      </c>
    </row>
    <row r="439" spans="2:35" ht="72" hidden="1">
      <c r="B439" s="20"/>
      <c r="C439" s="20"/>
      <c r="D439" s="292"/>
      <c r="E439" s="292"/>
      <c r="F439" s="277"/>
      <c r="G439" s="148" t="s">
        <v>396</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92"/>
      <c r="E440" s="292"/>
      <c r="F440" s="277"/>
      <c r="G440" s="53" t="s">
        <v>797</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91" t="s">
        <v>230</v>
      </c>
      <c r="E441" s="291" t="s">
        <v>608</v>
      </c>
      <c r="F441" s="276" t="s">
        <v>607</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92"/>
      <c r="E442" s="292"/>
      <c r="F442" s="277"/>
      <c r="G442" s="148" t="s">
        <v>310</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323"/>
      <c r="E443" s="323"/>
      <c r="F443" s="290"/>
      <c r="G443" s="148" t="s">
        <v>684</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91" t="s">
        <v>7</v>
      </c>
      <c r="E444" s="291" t="s">
        <v>609</v>
      </c>
      <c r="F444" s="276" t="s">
        <v>477</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92"/>
      <c r="E445" s="292"/>
      <c r="F445" s="277"/>
      <c r="G445" s="148" t="s">
        <v>663</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92"/>
      <c r="E446" s="292"/>
      <c r="F446" s="277"/>
      <c r="G446" s="148" t="s">
        <v>2</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92"/>
      <c r="E447" s="292"/>
      <c r="F447" s="277"/>
      <c r="G447" s="148" t="s">
        <v>815</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92"/>
      <c r="E448" s="292"/>
      <c r="F448" s="277"/>
      <c r="G448" s="148" t="s">
        <v>310</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92"/>
      <c r="E449" s="292"/>
      <c r="F449" s="277"/>
      <c r="G449" s="148" t="s">
        <v>654</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92"/>
      <c r="E450" s="292"/>
      <c r="F450" s="277"/>
      <c r="G450" s="96" t="s">
        <v>816</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92"/>
      <c r="E451" s="292"/>
      <c r="F451" s="277"/>
      <c r="G451" s="96" t="s">
        <v>691</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92"/>
      <c r="E452" s="292"/>
      <c r="F452" s="277"/>
      <c r="G452" s="96" t="s">
        <v>335</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92"/>
      <c r="E453" s="292"/>
      <c r="F453" s="277"/>
      <c r="G453" s="96" t="s">
        <v>336</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92"/>
      <c r="E454" s="292"/>
      <c r="F454" s="277"/>
      <c r="G454" s="96" t="s">
        <v>337</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92"/>
      <c r="E455" s="292"/>
      <c r="F455" s="277"/>
      <c r="G455" s="96" t="s">
        <v>811</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91" t="s">
        <v>8</v>
      </c>
      <c r="E456" s="291" t="s">
        <v>611</v>
      </c>
      <c r="F456" s="276" t="s">
        <v>610</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92"/>
      <c r="E457" s="292"/>
      <c r="F457" s="277"/>
      <c r="G457" s="155" t="s">
        <v>837</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323"/>
      <c r="E458" s="323"/>
      <c r="F458" s="290"/>
      <c r="G458" s="155" t="s">
        <v>1</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91" t="s">
        <v>838</v>
      </c>
      <c r="E459" s="274" t="s">
        <v>839</v>
      </c>
      <c r="F459" s="320" t="s">
        <v>840</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43698.3</v>
      </c>
    </row>
    <row r="460" spans="2:35" ht="93.75">
      <c r="B460" s="25"/>
      <c r="C460" s="25"/>
      <c r="D460" s="292"/>
      <c r="E460" s="318"/>
      <c r="F460" s="320"/>
      <c r="G460" s="148" t="s">
        <v>682</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92"/>
      <c r="E461" s="318"/>
      <c r="F461" s="320"/>
      <c r="G461" s="148" t="s">
        <v>836</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f>
        <v>23198.4</v>
      </c>
    </row>
    <row r="462" spans="2:35" ht="69" customHeight="1">
      <c r="B462" s="25"/>
      <c r="C462" s="25"/>
      <c r="D462" s="291" t="s">
        <v>612</v>
      </c>
      <c r="E462" s="291" t="s">
        <v>606</v>
      </c>
      <c r="F462" s="276" t="s">
        <v>64</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323"/>
      <c r="E463" s="323"/>
      <c r="F463" s="290"/>
      <c r="G463" s="155" t="s">
        <v>545</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213</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1878050.7400000002</v>
      </c>
    </row>
    <row r="465" spans="2:35" ht="18.75">
      <c r="B465" s="20"/>
      <c r="C465" s="9"/>
      <c r="D465" s="274" t="s">
        <v>219</v>
      </c>
      <c r="E465" s="324" t="s">
        <v>140</v>
      </c>
      <c r="F465" s="276" t="s">
        <v>220</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1022519</v>
      </c>
    </row>
    <row r="466" spans="2:35" ht="56.25">
      <c r="B466" s="20"/>
      <c r="C466" s="9"/>
      <c r="D466" s="318"/>
      <c r="E466" s="328"/>
      <c r="F466" s="277"/>
      <c r="G466" s="148" t="s">
        <v>714</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318"/>
      <c r="E467" s="328"/>
      <c r="F467" s="277"/>
      <c r="G467" s="148" t="s">
        <v>715</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318"/>
      <c r="E468" s="328"/>
      <c r="F468" s="277"/>
      <c r="G468" s="148" t="s">
        <v>716</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318"/>
      <c r="E469" s="328"/>
      <c r="F469" s="277"/>
      <c r="G469" s="148" t="s">
        <v>804</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318"/>
      <c r="E470" s="328"/>
      <c r="F470" s="277"/>
      <c r="G470" s="148" t="s">
        <v>245</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318"/>
      <c r="E471" s="328"/>
      <c r="F471" s="277"/>
      <c r="G471" s="148" t="s">
        <v>246</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318"/>
      <c r="E472" s="328"/>
      <c r="F472" s="277"/>
      <c r="G472" s="148" t="s">
        <v>247</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318"/>
      <c r="E473" s="328"/>
      <c r="F473" s="277"/>
      <c r="G473" s="148" t="s">
        <v>310</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89"/>
      <c r="E474" s="325"/>
      <c r="F474" s="290"/>
      <c r="G474" s="148" t="s">
        <v>569</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f>
        <v>947519</v>
      </c>
    </row>
    <row r="475" spans="2:35" ht="18" hidden="1">
      <c r="B475" s="20"/>
      <c r="C475" s="9"/>
      <c r="D475" s="274" t="s">
        <v>390</v>
      </c>
      <c r="E475" s="274" t="s">
        <v>148</v>
      </c>
      <c r="F475" s="276" t="s">
        <v>301</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89"/>
      <c r="E476" s="289"/>
      <c r="F476" s="290"/>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91" t="s">
        <v>146</v>
      </c>
      <c r="E477" s="291" t="s">
        <v>65</v>
      </c>
      <c r="F477" s="276" t="s">
        <v>388</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92"/>
      <c r="E478" s="292"/>
      <c r="F478" s="277"/>
      <c r="G478" s="148" t="s">
        <v>248</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92"/>
      <c r="E479" s="292"/>
      <c r="F479" s="277"/>
      <c r="G479" s="148" t="s">
        <v>405</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92"/>
      <c r="E480" s="292"/>
      <c r="F480" s="277"/>
      <c r="G480" s="148" t="s">
        <v>667</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92"/>
      <c r="E481" s="292"/>
      <c r="F481" s="277"/>
      <c r="G481" s="148" t="s">
        <v>329</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92"/>
      <c r="E482" s="292"/>
      <c r="F482" s="277"/>
      <c r="G482" s="148" t="s">
        <v>377</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92"/>
      <c r="E483" s="292"/>
      <c r="F483" s="277"/>
      <c r="G483" s="148" t="s">
        <v>249</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92"/>
      <c r="E484" s="292"/>
      <c r="F484" s="277"/>
      <c r="G484" s="148" t="s">
        <v>250</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92"/>
      <c r="E485" s="292"/>
      <c r="F485" s="277"/>
      <c r="G485" s="148" t="s">
        <v>251</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92"/>
      <c r="E486" s="292"/>
      <c r="F486" s="277"/>
      <c r="G486" s="148" t="s">
        <v>579</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92"/>
      <c r="E487" s="292"/>
      <c r="F487" s="277"/>
      <c r="G487" s="148" t="s">
        <v>310</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92"/>
      <c r="E488" s="292"/>
      <c r="F488" s="277"/>
      <c r="G488" s="148" t="s">
        <v>652</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92"/>
      <c r="E489" s="292"/>
      <c r="F489" s="277"/>
      <c r="G489" s="148" t="s">
        <v>653</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92"/>
      <c r="E490" s="292"/>
      <c r="F490" s="277"/>
      <c r="G490" s="148" t="s">
        <v>651</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92"/>
      <c r="E491" s="292"/>
      <c r="F491" s="277"/>
      <c r="G491" s="148" t="s">
        <v>799</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214</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13492343.25</v>
      </c>
      <c r="AF492" s="64">
        <f t="shared" si="56"/>
        <v>16631031.39</v>
      </c>
      <c r="AG492" s="64">
        <f t="shared" si="56"/>
        <v>9751429.43</v>
      </c>
      <c r="AH492" s="64">
        <f t="shared" si="56"/>
        <v>12538591.77</v>
      </c>
      <c r="AI492" s="64">
        <f t="shared" si="56"/>
        <v>91766954.61</v>
      </c>
    </row>
    <row r="493" spans="2:35" ht="18.75">
      <c r="B493" s="18"/>
      <c r="D493" s="324" t="s">
        <v>219</v>
      </c>
      <c r="E493" s="324" t="s">
        <v>140</v>
      </c>
      <c r="F493" s="276" t="s">
        <v>220</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25"/>
      <c r="E494" s="325"/>
      <c r="F494" s="290"/>
      <c r="G494" s="161" t="s">
        <v>580</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91" t="s">
        <v>10</v>
      </c>
      <c r="E495" s="291" t="s">
        <v>599</v>
      </c>
      <c r="F495" s="276" t="s">
        <v>302</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4364991.75</v>
      </c>
    </row>
    <row r="496" spans="2:35" ht="54" hidden="1">
      <c r="B496" s="5"/>
      <c r="C496" s="5"/>
      <c r="D496" s="292"/>
      <c r="E496" s="292"/>
      <c r="F496" s="277"/>
      <c r="G496" s="143" t="s">
        <v>577</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92"/>
      <c r="E497" s="292"/>
      <c r="F497" s="277"/>
      <c r="G497" s="143" t="s">
        <v>587</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f>
        <v>3723530.500000001</v>
      </c>
    </row>
    <row r="498" spans="2:35" ht="56.25">
      <c r="B498" s="5"/>
      <c r="C498" s="5"/>
      <c r="D498" s="292"/>
      <c r="E498" s="292"/>
      <c r="F498" s="277"/>
      <c r="G498" s="143" t="s">
        <v>583</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92"/>
      <c r="E499" s="292"/>
      <c r="F499" s="277"/>
      <c r="G499" s="143" t="s">
        <v>668</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f>
        <v>120000</v>
      </c>
      <c r="AF499" s="54"/>
      <c r="AG499" s="54"/>
      <c r="AH499" s="54">
        <v>80000</v>
      </c>
      <c r="AI499" s="43"/>
    </row>
    <row r="500" spans="2:35" ht="72" hidden="1">
      <c r="B500" s="5"/>
      <c r="C500" s="5"/>
      <c r="D500" s="292"/>
      <c r="E500" s="292"/>
      <c r="F500" s="277"/>
      <c r="G500" s="96" t="s">
        <v>161</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92"/>
      <c r="E501" s="292"/>
      <c r="F501" s="277"/>
      <c r="G501" s="96" t="s">
        <v>114</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92"/>
      <c r="E502" s="292"/>
      <c r="F502" s="277"/>
      <c r="G502" s="96" t="s">
        <v>779</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92"/>
      <c r="E503" s="292"/>
      <c r="F503" s="277"/>
      <c r="G503" s="96" t="s">
        <v>586</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c r="AF503" s="54"/>
      <c r="AG503" s="54">
        <f>139895</f>
        <v>139895</v>
      </c>
      <c r="AH503" s="54">
        <f>145000-145000</f>
        <v>0</v>
      </c>
      <c r="AI503" s="43">
        <f>3090+7209.99+96840+45016.8</f>
        <v>152156.79</v>
      </c>
    </row>
    <row r="504" spans="2:35" ht="117.75" customHeight="1">
      <c r="B504" s="18"/>
      <c r="C504" s="18"/>
      <c r="D504" s="292"/>
      <c r="E504" s="292"/>
      <c r="F504" s="277"/>
      <c r="G504" s="96" t="s">
        <v>814</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92"/>
      <c r="E505" s="292"/>
      <c r="F505" s="277"/>
      <c r="G505" s="96" t="s">
        <v>409</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92"/>
      <c r="E506" s="292"/>
      <c r="F506" s="277"/>
      <c r="G506" s="96" t="s">
        <v>410</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92"/>
      <c r="E507" s="292"/>
      <c r="F507" s="277"/>
      <c r="G507" s="96" t="s">
        <v>428</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92"/>
      <c r="E508" s="292"/>
      <c r="F508" s="277"/>
      <c r="G508" s="96" t="s">
        <v>459</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292"/>
      <c r="E509" s="292"/>
      <c r="F509" s="277"/>
      <c r="G509" s="96" t="s">
        <v>588</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292"/>
      <c r="E510" s="292"/>
      <c r="F510" s="277"/>
      <c r="G510" s="96" t="s">
        <v>111</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5">
      <c r="B511" s="18"/>
      <c r="C511" s="18"/>
      <c r="D511" s="292"/>
      <c r="E511" s="292"/>
      <c r="F511" s="277"/>
      <c r="G511" s="96" t="s">
        <v>242</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f>
        <v>0</v>
      </c>
      <c r="AF511" s="54"/>
      <c r="AG511" s="54"/>
      <c r="AH511" s="54">
        <f>55000-55000</f>
        <v>0</v>
      </c>
      <c r="AI511" s="43">
        <v>4800</v>
      </c>
    </row>
    <row r="512" spans="2:35" ht="75">
      <c r="B512" s="18"/>
      <c r="C512" s="18"/>
      <c r="D512" s="292"/>
      <c r="E512" s="292"/>
      <c r="F512" s="277"/>
      <c r="G512" s="96" t="s">
        <v>243</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f>
        <v>0</v>
      </c>
      <c r="AF512" s="54"/>
      <c r="AG512" s="54"/>
      <c r="AH512" s="54">
        <f>55000-55000</f>
        <v>0</v>
      </c>
      <c r="AI512" s="43">
        <v>4800</v>
      </c>
    </row>
    <row r="513" spans="2:35" ht="72" hidden="1">
      <c r="B513" s="5"/>
      <c r="C513" s="5"/>
      <c r="D513" s="292"/>
      <c r="E513" s="292"/>
      <c r="F513" s="277"/>
      <c r="G513" s="96" t="s">
        <v>764</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92"/>
      <c r="E514" s="292"/>
      <c r="F514" s="277"/>
      <c r="G514" s="96" t="s">
        <v>412</v>
      </c>
      <c r="H514" s="63"/>
      <c r="I514" s="151"/>
      <c r="J514" s="152"/>
      <c r="K514" s="43"/>
      <c r="L514" s="43"/>
      <c r="M514" s="43"/>
      <c r="N514" s="93">
        <v>3131</v>
      </c>
      <c r="O514" s="152"/>
      <c r="P514" s="152"/>
      <c r="Q514" s="54">
        <v>60000</v>
      </c>
      <c r="R514" s="54" t="s">
        <v>411</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92"/>
      <c r="E515" s="292"/>
      <c r="F515" s="277"/>
      <c r="G515" s="96" t="s">
        <v>755</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92"/>
      <c r="E516" s="292"/>
      <c r="F516" s="277"/>
      <c r="G516" s="96" t="s">
        <v>413</v>
      </c>
      <c r="H516" s="63"/>
      <c r="I516" s="151"/>
      <c r="J516" s="152"/>
      <c r="K516" s="43"/>
      <c r="L516" s="43"/>
      <c r="M516" s="43"/>
      <c r="N516" s="93">
        <v>3131</v>
      </c>
      <c r="O516" s="152"/>
      <c r="P516" s="152"/>
      <c r="Q516" s="54">
        <v>390275</v>
      </c>
      <c r="R516" s="54" t="s">
        <v>411</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92"/>
      <c r="E517" s="292"/>
      <c r="F517" s="277"/>
      <c r="G517" s="96" t="s">
        <v>765</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74" t="s">
        <v>11</v>
      </c>
      <c r="E518" s="274" t="s">
        <v>599</v>
      </c>
      <c r="F518" s="320" t="s">
        <v>194</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15377.02</v>
      </c>
    </row>
    <row r="519" spans="2:35" ht="131.25">
      <c r="B519" s="18"/>
      <c r="C519" s="18"/>
      <c r="D519" s="318"/>
      <c r="E519" s="318"/>
      <c r="F519" s="320"/>
      <c r="G519" s="96" t="s">
        <v>287</v>
      </c>
      <c r="H519" s="63"/>
      <c r="I519" s="151"/>
      <c r="J519" s="152"/>
      <c r="K519" s="43"/>
      <c r="L519" s="43"/>
      <c r="M519" s="43"/>
      <c r="N519" s="267" t="s">
        <v>548</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f>
        <v>15377.02</v>
      </c>
    </row>
    <row r="520" spans="2:35" ht="18.75">
      <c r="B520" s="5"/>
      <c r="C520" s="5"/>
      <c r="D520" s="291" t="s">
        <v>137</v>
      </c>
      <c r="E520" s="291" t="s">
        <v>138</v>
      </c>
      <c r="F520" s="276" t="s">
        <v>356</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1000000</v>
      </c>
      <c r="AF520" s="57">
        <f t="shared" si="60"/>
        <v>930000</v>
      </c>
      <c r="AG520" s="57">
        <f t="shared" si="60"/>
        <v>804767</v>
      </c>
      <c r="AH520" s="57">
        <f t="shared" si="60"/>
        <v>794818</v>
      </c>
      <c r="AI520" s="57">
        <f t="shared" si="60"/>
        <v>2654656.95</v>
      </c>
    </row>
    <row r="521" spans="2:35" ht="112.5">
      <c r="B521" s="5"/>
      <c r="C521" s="5"/>
      <c r="D521" s="292"/>
      <c r="E521" s="292"/>
      <c r="F521" s="277"/>
      <c r="G521" s="166" t="s">
        <v>288</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92"/>
      <c r="E522" s="292"/>
      <c r="F522" s="277"/>
      <c r="G522" s="96" t="s">
        <v>318</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92"/>
      <c r="E523" s="292"/>
      <c r="F523" s="277"/>
      <c r="G523" s="96" t="s">
        <v>319</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92"/>
      <c r="E524" s="292"/>
      <c r="F524" s="277"/>
      <c r="G524" s="96" t="s">
        <v>786</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92"/>
      <c r="E525" s="292"/>
      <c r="F525" s="277"/>
      <c r="G525" s="96" t="s">
        <v>787</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92"/>
      <c r="E526" s="292"/>
      <c r="F526" s="277"/>
      <c r="G526" s="96" t="s">
        <v>788</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92"/>
      <c r="E527" s="292"/>
      <c r="F527" s="277"/>
      <c r="G527" s="96" t="s">
        <v>642</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92"/>
      <c r="E528" s="292"/>
      <c r="F528" s="277"/>
      <c r="G528" s="96" t="s">
        <v>320</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f>
        <v>1000000</v>
      </c>
      <c r="AF528" s="43"/>
      <c r="AG528" s="43"/>
      <c r="AH528" s="43"/>
      <c r="AI528" s="43">
        <f>411000+450723+7998.02+371369.81+139999</f>
        <v>1381089.83</v>
      </c>
    </row>
    <row r="529" spans="2:35" ht="18" hidden="1">
      <c r="B529" s="18"/>
      <c r="C529" s="18"/>
      <c r="D529" s="274" t="s">
        <v>602</v>
      </c>
      <c r="E529" s="274" t="s">
        <v>340</v>
      </c>
      <c r="F529" s="276" t="s">
        <v>362</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318"/>
      <c r="E530" s="318"/>
      <c r="F530" s="277"/>
      <c r="G530" s="169" t="s">
        <v>321</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91" t="s">
        <v>592</v>
      </c>
      <c r="E531" s="291" t="s">
        <v>389</v>
      </c>
      <c r="F531" s="276" t="s">
        <v>402</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5458318.25</v>
      </c>
      <c r="AF531" s="57">
        <f t="shared" si="62"/>
        <v>9006628.32</v>
      </c>
      <c r="AG531" s="57">
        <f t="shared" si="62"/>
        <v>4477592.43</v>
      </c>
      <c r="AH531" s="57">
        <f t="shared" si="62"/>
        <v>7248339</v>
      </c>
      <c r="AI531" s="57">
        <f t="shared" si="62"/>
        <v>63003727.33</v>
      </c>
    </row>
    <row r="532" spans="2:35" ht="75">
      <c r="B532" s="18"/>
      <c r="C532" s="18"/>
      <c r="D532" s="292"/>
      <c r="E532" s="292"/>
      <c r="F532" s="277"/>
      <c r="G532" s="166" t="s">
        <v>322</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92"/>
      <c r="E533" s="292"/>
      <c r="F533" s="277"/>
      <c r="G533" s="166" t="s">
        <v>188</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row>
    <row r="534" spans="2:35" ht="75">
      <c r="B534" s="18"/>
      <c r="C534" s="18"/>
      <c r="D534" s="292"/>
      <c r="E534" s="292"/>
      <c r="F534" s="277"/>
      <c r="G534" s="166" t="s">
        <v>3</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92"/>
      <c r="E535" s="292"/>
      <c r="F535" s="277"/>
      <c r="G535" s="166" t="s">
        <v>683</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f>
        <v>340265.57</v>
      </c>
    </row>
    <row r="536" spans="2:35" ht="75">
      <c r="B536" s="18"/>
      <c r="C536" s="18"/>
      <c r="D536" s="292"/>
      <c r="E536" s="292"/>
      <c r="F536" s="277"/>
      <c r="G536" s="166" t="s">
        <v>121</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row>
    <row r="537" spans="2:35" ht="75">
      <c r="B537" s="18"/>
      <c r="C537" s="18"/>
      <c r="D537" s="292"/>
      <c r="E537" s="292"/>
      <c r="F537" s="277"/>
      <c r="G537" s="166" t="s">
        <v>40</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92"/>
      <c r="E538" s="292"/>
      <c r="F538" s="277"/>
      <c r="G538" s="166" t="s">
        <v>74</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92"/>
      <c r="E539" s="292"/>
      <c r="F539" s="277"/>
      <c r="G539" s="166" t="s">
        <v>813</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92"/>
      <c r="E540" s="292"/>
      <c r="F540" s="277"/>
      <c r="G540" s="166" t="s">
        <v>449</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92"/>
      <c r="E541" s="292"/>
      <c r="F541" s="277"/>
      <c r="G541" s="166" t="s">
        <v>75</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92"/>
      <c r="E542" s="292"/>
      <c r="F542" s="277"/>
      <c r="G542" s="166" t="s">
        <v>450</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v>100000</v>
      </c>
      <c r="AF542" s="54">
        <v>2500000</v>
      </c>
      <c r="AG542" s="54"/>
      <c r="AH542" s="54"/>
      <c r="AI542" s="54">
        <f>146000+118000</f>
        <v>264000</v>
      </c>
    </row>
    <row r="543" spans="2:35" ht="54" hidden="1">
      <c r="B543" s="18"/>
      <c r="C543" s="18"/>
      <c r="D543" s="292"/>
      <c r="E543" s="292"/>
      <c r="F543" s="277"/>
      <c r="G543" s="166" t="s">
        <v>762</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92"/>
      <c r="E544" s="292"/>
      <c r="F544" s="277"/>
      <c r="G544" s="166" t="s">
        <v>760</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v>820000</v>
      </c>
      <c r="AE544" s="54"/>
      <c r="AF544" s="54">
        <f>152379.64+3774249.93</f>
        <v>3926629.5700000003</v>
      </c>
      <c r="AG544" s="54">
        <v>3073370.4299999997</v>
      </c>
      <c r="AH544" s="54">
        <v>3500000</v>
      </c>
      <c r="AI544" s="54">
        <f>250000+350000+11000000+385798+506503.4</f>
        <v>12492301.4</v>
      </c>
    </row>
    <row r="545" spans="2:35" ht="56.25">
      <c r="B545" s="18"/>
      <c r="C545" s="18"/>
      <c r="D545" s="292"/>
      <c r="E545" s="292"/>
      <c r="F545" s="277"/>
      <c r="G545" s="166" t="s">
        <v>761</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f>
        <v>115000</v>
      </c>
    </row>
    <row r="546" spans="2:35" ht="37.5">
      <c r="B546" s="18"/>
      <c r="C546" s="18"/>
      <c r="D546" s="292"/>
      <c r="E546" s="292"/>
      <c r="F546" s="277"/>
      <c r="G546" s="166" t="s">
        <v>758</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f>
        <v>17118767</v>
      </c>
      <c r="AE546" s="54">
        <f>833334-833334+973488.25+100000-1073488.25+4888557</f>
        <v>4888557</v>
      </c>
      <c r="AF546" s="54">
        <f>692000-57666-634334+701511.75-701511.75+2500000-1.25</f>
        <v>2499998.75</v>
      </c>
      <c r="AG546" s="54">
        <f>130000-130000+1000000+1.25</f>
        <v>1000001.25</v>
      </c>
      <c r="AH546" s="54">
        <f>3000000</f>
        <v>3000000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f>
        <v>32734625.77</v>
      </c>
    </row>
    <row r="547" spans="2:35" ht="56.25">
      <c r="B547" s="18"/>
      <c r="C547" s="18"/>
      <c r="D547" s="292"/>
      <c r="E547" s="292"/>
      <c r="F547" s="277"/>
      <c r="G547" s="166" t="s">
        <v>620</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c r="AF547" s="54"/>
      <c r="AG547" s="54"/>
      <c r="AH547" s="54">
        <v>500000</v>
      </c>
      <c r="AI547" s="54">
        <f>108000+2394100+780000+290000</f>
        <v>3572100</v>
      </c>
    </row>
    <row r="548" spans="2:35" ht="37.5">
      <c r="B548" s="18"/>
      <c r="C548" s="18"/>
      <c r="D548" s="292"/>
      <c r="E548" s="292"/>
      <c r="F548" s="277"/>
      <c r="G548" s="166" t="s">
        <v>621</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92"/>
      <c r="E549" s="292"/>
      <c r="F549" s="277"/>
      <c r="G549" s="166" t="s">
        <v>622</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92"/>
      <c r="E550" s="292"/>
      <c r="F550" s="277"/>
      <c r="G550" s="166" t="s">
        <v>615</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92"/>
      <c r="E551" s="292"/>
      <c r="F551" s="277"/>
      <c r="G551" s="166" t="s">
        <v>429</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92"/>
      <c r="E552" s="292"/>
      <c r="F552" s="277"/>
      <c r="G552" s="53" t="s">
        <v>124</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c r="AF552" s="43"/>
      <c r="AG552" s="43"/>
      <c r="AH552" s="43"/>
      <c r="AI552" s="54">
        <f>3263175+1196936+1083633.68+1062941-1383336+29005.67+48813+823.18</f>
        <v>5301991.529999999</v>
      </c>
    </row>
    <row r="553" spans="2:35" ht="37.5">
      <c r="B553" s="18"/>
      <c r="C553" s="18"/>
      <c r="D553" s="292"/>
      <c r="E553" s="292"/>
      <c r="F553" s="277"/>
      <c r="G553" s="53" t="s">
        <v>125</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f>
        <v>1.25</v>
      </c>
      <c r="AF553" s="43">
        <f>634334+1500000+701511.75-2835845.75</f>
        <v>0</v>
      </c>
      <c r="AG553" s="43">
        <f>170000-141779.25</f>
        <v>28220.75</v>
      </c>
      <c r="AH553" s="43"/>
      <c r="AI553" s="43">
        <f>43726+73807</f>
        <v>117533</v>
      </c>
    </row>
    <row r="554" spans="2:35" ht="56.25">
      <c r="B554" s="18"/>
      <c r="C554" s="18"/>
      <c r="D554" s="292"/>
      <c r="E554" s="292"/>
      <c r="F554" s="277"/>
      <c r="G554" s="166" t="s">
        <v>616</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92"/>
      <c r="E555" s="292"/>
      <c r="F555" s="277"/>
      <c r="G555" s="166" t="s">
        <v>728</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92"/>
      <c r="E556" s="292"/>
      <c r="F556" s="277"/>
      <c r="G556" s="166" t="s">
        <v>729</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92"/>
      <c r="E557" s="292"/>
      <c r="F557" s="277"/>
      <c r="G557" s="96" t="s">
        <v>294</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74" t="s">
        <v>655</v>
      </c>
      <c r="E558" s="274" t="s">
        <v>138</v>
      </c>
      <c r="F558" s="276" t="s">
        <v>392</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4072500</v>
      </c>
      <c r="AF558" s="57">
        <f t="shared" si="63"/>
        <v>5326420.07</v>
      </c>
      <c r="AG558" s="57">
        <f t="shared" si="63"/>
        <v>889600</v>
      </c>
      <c r="AH558" s="57">
        <f t="shared" si="63"/>
        <v>3655159.77</v>
      </c>
      <c r="AI558" s="57">
        <f t="shared" si="63"/>
        <v>21576201.56</v>
      </c>
    </row>
    <row r="559" spans="2:35" ht="56.25">
      <c r="B559" s="5"/>
      <c r="C559" s="5"/>
      <c r="D559" s="318"/>
      <c r="E559" s="318"/>
      <c r="F559" s="277"/>
      <c r="G559" s="178" t="s">
        <v>197</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2165400</v>
      </c>
      <c r="AF559" s="65">
        <f t="shared" si="64"/>
        <v>0</v>
      </c>
      <c r="AG559" s="65">
        <f t="shared" si="64"/>
        <v>759600</v>
      </c>
      <c r="AH559" s="65">
        <f t="shared" si="64"/>
        <v>0</v>
      </c>
      <c r="AI559" s="65">
        <f t="shared" si="64"/>
        <v>7180051.56</v>
      </c>
    </row>
    <row r="560" spans="2:35" ht="75">
      <c r="B560" s="5"/>
      <c r="C560" s="5"/>
      <c r="D560" s="318"/>
      <c r="E560" s="318"/>
      <c r="F560" s="277"/>
      <c r="G560" s="166" t="s">
        <v>295</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318"/>
      <c r="E561" s="318"/>
      <c r="F561" s="277"/>
      <c r="G561" s="166" t="s">
        <v>217</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v>1253200</v>
      </c>
      <c r="AF561" s="54"/>
      <c r="AG561" s="54">
        <f>1253200-493600</f>
        <v>759600</v>
      </c>
      <c r="AH561" s="54">
        <f>2506400-2506400</f>
        <v>0</v>
      </c>
      <c r="AI561" s="43">
        <f>74222.76+777690</f>
        <v>851912.76</v>
      </c>
    </row>
    <row r="562" spans="2:35" ht="34.5" hidden="1">
      <c r="B562" s="5"/>
      <c r="C562" s="5"/>
      <c r="D562" s="318"/>
      <c r="E562" s="318"/>
      <c r="F562" s="277"/>
      <c r="G562" s="178" t="s">
        <v>198</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318"/>
      <c r="E563" s="318"/>
      <c r="F563" s="277"/>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18"/>
      <c r="E564" s="318"/>
      <c r="F564" s="277"/>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18"/>
      <c r="E565" s="318"/>
      <c r="F565" s="277"/>
      <c r="G565" s="183" t="s">
        <v>589</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318"/>
      <c r="E566" s="318"/>
      <c r="F566" s="277"/>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318"/>
      <c r="E567" s="318"/>
      <c r="F567" s="277"/>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318"/>
      <c r="E568" s="318"/>
      <c r="F568" s="277"/>
      <c r="G568" s="183" t="s">
        <v>314</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318"/>
      <c r="E569" s="318"/>
      <c r="F569" s="277"/>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318"/>
      <c r="E570" s="318"/>
      <c r="F570" s="277"/>
      <c r="G570" s="97" t="s">
        <v>590</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277100</v>
      </c>
      <c r="AF570" s="68">
        <f t="shared" si="65"/>
        <v>740000</v>
      </c>
      <c r="AG570" s="68">
        <f t="shared" si="65"/>
        <v>50000</v>
      </c>
      <c r="AH570" s="68">
        <f t="shared" si="65"/>
        <v>0</v>
      </c>
      <c r="AI570" s="68">
        <f t="shared" si="65"/>
        <v>1803648.4</v>
      </c>
    </row>
    <row r="571" spans="2:35" ht="75">
      <c r="B571" s="5"/>
      <c r="C571" s="5"/>
      <c r="D571" s="318"/>
      <c r="E571" s="318"/>
      <c r="F571" s="277"/>
      <c r="G571" s="96" t="s">
        <v>42</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318"/>
      <c r="E572" s="318"/>
      <c r="F572" s="277"/>
      <c r="G572" s="96" t="s">
        <v>43</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318"/>
      <c r="E573" s="318"/>
      <c r="F573" s="277"/>
      <c r="G573" s="96" t="s">
        <v>44</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318"/>
      <c r="E574" s="318"/>
      <c r="F574" s="277"/>
      <c r="G574" s="96" t="s">
        <v>36</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c r="AF574" s="43">
        <f>127488.25-127488.25</f>
        <v>0</v>
      </c>
      <c r="AG574" s="43">
        <f>354011.75-354011.75</f>
        <v>0</v>
      </c>
      <c r="AH574" s="43"/>
      <c r="AI574" s="43"/>
    </row>
    <row r="575" spans="2:35" ht="56.25">
      <c r="B575" s="5"/>
      <c r="C575" s="5"/>
      <c r="D575" s="318"/>
      <c r="E575" s="318"/>
      <c r="F575" s="277"/>
      <c r="G575" s="96" t="s">
        <v>37</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318"/>
      <c r="E576" s="318"/>
      <c r="F576" s="277"/>
      <c r="G576" s="96" t="s">
        <v>648</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318"/>
      <c r="E577" s="318"/>
      <c r="F577" s="277"/>
      <c r="G577" s="96" t="s">
        <v>598</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318"/>
      <c r="E578" s="318"/>
      <c r="F578" s="277"/>
      <c r="G578" s="96" t="s">
        <v>740</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318"/>
      <c r="E579" s="318"/>
      <c r="F579" s="277"/>
      <c r="G579" s="96" t="s">
        <v>289</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318"/>
      <c r="E580" s="318"/>
      <c r="F580" s="277"/>
      <c r="G580" s="97" t="s">
        <v>476</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7358628.2700000005</v>
      </c>
    </row>
    <row r="581" spans="2:35" ht="75">
      <c r="B581" s="5"/>
      <c r="C581" s="5"/>
      <c r="D581" s="318"/>
      <c r="E581" s="318"/>
      <c r="F581" s="277"/>
      <c r="G581" s="96" t="s">
        <v>136</v>
      </c>
      <c r="H581" s="66"/>
      <c r="I581" s="154"/>
      <c r="J581" s="66"/>
      <c r="K581" s="43"/>
      <c r="L581" s="43"/>
      <c r="M581" s="43"/>
      <c r="N581" s="93">
        <v>3210</v>
      </c>
      <c r="O581" s="66"/>
      <c r="P581" s="66"/>
      <c r="Q581" s="44">
        <v>2000000</v>
      </c>
      <c r="R581" s="44" t="s">
        <v>411</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318"/>
      <c r="E582" s="318"/>
      <c r="F582" s="277"/>
      <c r="G582" s="96" t="s">
        <v>798</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f>
        <v>3956557.3100000005</v>
      </c>
    </row>
    <row r="583" spans="2:35" ht="75">
      <c r="B583" s="5"/>
      <c r="C583" s="5"/>
      <c r="D583" s="318"/>
      <c r="E583" s="318"/>
      <c r="F583" s="277"/>
      <c r="G583" s="96" t="s">
        <v>290</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318"/>
      <c r="E584" s="318"/>
      <c r="F584" s="277"/>
      <c r="G584" s="96" t="s">
        <v>291</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318"/>
      <c r="E585" s="318"/>
      <c r="F585" s="277"/>
      <c r="G585" s="96" t="s">
        <v>767</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318"/>
      <c r="E586" s="318"/>
      <c r="F586" s="277"/>
      <c r="G586" s="193" t="s">
        <v>315</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318"/>
      <c r="E587" s="318"/>
      <c r="F587" s="277"/>
      <c r="G587" s="195" t="s">
        <v>768</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318"/>
      <c r="E588" s="318"/>
      <c r="F588" s="277"/>
      <c r="G588" s="195" t="s">
        <v>769</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18"/>
      <c r="E589" s="318"/>
      <c r="F589" s="277"/>
      <c r="G589" s="195" t="s">
        <v>457</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318"/>
      <c r="E590" s="318"/>
      <c r="F590" s="277"/>
      <c r="G590" s="195" t="s">
        <v>458</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318"/>
      <c r="E591" s="318"/>
      <c r="F591" s="277"/>
      <c r="G591" s="195" t="s">
        <v>414</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318"/>
      <c r="E592" s="318"/>
      <c r="F592" s="277"/>
      <c r="G592" s="195" t="s">
        <v>415</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318"/>
      <c r="E593" s="318"/>
      <c r="F593" s="277"/>
      <c r="G593" s="195" t="s">
        <v>416</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318"/>
      <c r="E594" s="318"/>
      <c r="F594" s="277"/>
      <c r="G594" s="195" t="s">
        <v>417</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318"/>
      <c r="E595" s="318"/>
      <c r="F595" s="277"/>
      <c r="G595" s="195" t="s">
        <v>418</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318"/>
      <c r="E596" s="318"/>
      <c r="F596" s="277"/>
      <c r="G596" s="195" t="s">
        <v>419</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318"/>
      <c r="E597" s="318"/>
      <c r="F597" s="277"/>
      <c r="G597" s="195" t="s">
        <v>756</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318"/>
      <c r="E598" s="318"/>
      <c r="F598" s="277"/>
      <c r="G598" s="97" t="s">
        <v>635</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0</v>
      </c>
      <c r="AF598" s="69">
        <f t="shared" si="68"/>
        <v>0</v>
      </c>
      <c r="AG598" s="69">
        <f t="shared" si="68"/>
        <v>0</v>
      </c>
      <c r="AH598" s="69">
        <f t="shared" si="68"/>
        <v>0</v>
      </c>
      <c r="AI598" s="69">
        <f t="shared" si="68"/>
        <v>1267019.45</v>
      </c>
    </row>
    <row r="599" spans="2:35" ht="56.25">
      <c r="B599" s="5"/>
      <c r="C599" s="5"/>
      <c r="D599" s="318"/>
      <c r="E599" s="318"/>
      <c r="F599" s="277"/>
      <c r="G599" s="96" t="s">
        <v>135</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318"/>
      <c r="E600" s="318"/>
      <c r="F600" s="277"/>
      <c r="G600" s="96" t="s">
        <v>453</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318"/>
      <c r="E601" s="318"/>
      <c r="F601" s="277"/>
      <c r="G601" s="96" t="s">
        <v>465</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318"/>
      <c r="E602" s="318"/>
      <c r="F602" s="277"/>
      <c r="G602" s="96" t="s">
        <v>641</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c r="AF602" s="43"/>
      <c r="AG602" s="43">
        <f>177733-177733</f>
        <v>0</v>
      </c>
      <c r="AH602" s="43"/>
      <c r="AI602" s="43">
        <f>650974.5+23611</f>
        <v>674585.5</v>
      </c>
    </row>
    <row r="603" spans="2:35" ht="56.25">
      <c r="B603" s="5"/>
      <c r="C603" s="5"/>
      <c r="D603" s="318"/>
      <c r="E603" s="318"/>
      <c r="F603" s="277"/>
      <c r="G603" s="96" t="s">
        <v>35</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318"/>
      <c r="E604" s="318"/>
      <c r="F604" s="277"/>
      <c r="G604" s="96" t="s">
        <v>244</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318"/>
      <c r="E605" s="318"/>
      <c r="F605" s="277"/>
      <c r="G605" s="97" t="s">
        <v>313</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318"/>
      <c r="E606" s="318"/>
      <c r="F606" s="277"/>
      <c r="G606" s="96" t="s">
        <v>421</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318"/>
      <c r="E607" s="318"/>
      <c r="F607" s="277"/>
      <c r="G607" s="96" t="s">
        <v>422</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318"/>
      <c r="E608" s="318"/>
      <c r="F608" s="277"/>
      <c r="G608" s="96" t="s">
        <v>796</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318"/>
      <c r="E609" s="318"/>
      <c r="F609" s="277"/>
      <c r="G609" s="96" t="s">
        <v>423</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4" customFormat="1" ht="37.5">
      <c r="A610" s="7"/>
      <c r="B610" s="5"/>
      <c r="C610" s="5"/>
      <c r="D610" s="318"/>
      <c r="E610" s="318"/>
      <c r="F610" s="277"/>
      <c r="G610" s="97" t="s">
        <v>644</v>
      </c>
      <c r="H610" s="67"/>
      <c r="I610" s="180"/>
      <c r="J610" s="194"/>
      <c r="K610" s="69"/>
      <c r="L610" s="68"/>
      <c r="M610" s="68"/>
      <c r="N610" s="263"/>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318"/>
      <c r="E611" s="318"/>
      <c r="F611" s="277"/>
      <c r="G611" s="96" t="s">
        <v>643</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318"/>
      <c r="E612" s="318"/>
      <c r="F612" s="277"/>
      <c r="G612" s="96" t="s">
        <v>789</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318"/>
      <c r="E613" s="318"/>
      <c r="F613" s="277"/>
      <c r="G613" s="96" t="s">
        <v>790</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318"/>
      <c r="E614" s="318"/>
      <c r="F614" s="277"/>
      <c r="G614" s="96" t="s">
        <v>791</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318"/>
      <c r="E615" s="318"/>
      <c r="F615" s="277"/>
      <c r="G615" s="96" t="s">
        <v>792</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318"/>
      <c r="E616" s="318"/>
      <c r="F616" s="277"/>
      <c r="G616" s="97" t="s">
        <v>793</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318"/>
      <c r="E617" s="318"/>
      <c r="F617" s="277"/>
      <c r="G617" s="96" t="s">
        <v>794</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318"/>
      <c r="E618" s="318"/>
      <c r="F618" s="277"/>
      <c r="G618" s="96" t="s">
        <v>795</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318"/>
      <c r="E619" s="318"/>
      <c r="F619" s="277"/>
      <c r="G619" s="97" t="s">
        <v>636</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400000</v>
      </c>
      <c r="AF619" s="69">
        <f t="shared" si="72"/>
        <v>0</v>
      </c>
      <c r="AG619" s="69">
        <f t="shared" si="72"/>
        <v>0</v>
      </c>
      <c r="AH619" s="69">
        <f t="shared" si="72"/>
        <v>1805159.77</v>
      </c>
      <c r="AI619" s="69">
        <f t="shared" si="72"/>
        <v>3919078.04</v>
      </c>
    </row>
    <row r="620" spans="2:35" ht="36">
      <c r="B620" s="5"/>
      <c r="C620" s="5"/>
      <c r="D620" s="318"/>
      <c r="E620" s="318"/>
      <c r="F620" s="277"/>
      <c r="G620" s="96" t="s">
        <v>424</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c r="AF620" s="43"/>
      <c r="AG620" s="43"/>
      <c r="AH620" s="43">
        <v>1805159.77</v>
      </c>
      <c r="AI620" s="43">
        <f>99510</f>
        <v>99510</v>
      </c>
    </row>
    <row r="621" spans="2:35" ht="18">
      <c r="B621" s="5"/>
      <c r="C621" s="5"/>
      <c r="D621" s="318"/>
      <c r="E621" s="318"/>
      <c r="F621" s="277"/>
      <c r="G621" s="96" t="s">
        <v>310</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318"/>
      <c r="E622" s="318"/>
      <c r="F622" s="277"/>
      <c r="G622" s="96" t="s">
        <v>692</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318"/>
      <c r="E623" s="318"/>
      <c r="F623" s="277"/>
      <c r="G623" s="96" t="s">
        <v>425</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74" t="s">
        <v>507</v>
      </c>
      <c r="E624" s="274" t="s">
        <v>341</v>
      </c>
      <c r="F624" s="276" t="s">
        <v>154</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318"/>
      <c r="E625" s="318"/>
      <c r="F625" s="277"/>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18"/>
      <c r="E626" s="318"/>
      <c r="F626" s="277"/>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318"/>
      <c r="E627" s="318"/>
      <c r="F627" s="277"/>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318"/>
      <c r="E628" s="318"/>
      <c r="F628" s="277"/>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89"/>
      <c r="E629" s="289"/>
      <c r="F629" s="290"/>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74" t="s">
        <v>155</v>
      </c>
      <c r="E630" s="274" t="s">
        <v>344</v>
      </c>
      <c r="F630" s="276" t="s">
        <v>343</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318"/>
      <c r="E631" s="318"/>
      <c r="F631" s="277"/>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318"/>
      <c r="E632" s="318"/>
      <c r="F632" s="277"/>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318"/>
      <c r="E633" s="318"/>
      <c r="F633" s="277"/>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318"/>
      <c r="E634" s="318"/>
      <c r="F634" s="277"/>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89"/>
      <c r="E635" s="289"/>
      <c r="F635" s="290"/>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74" t="s">
        <v>156</v>
      </c>
      <c r="E636" s="274" t="s">
        <v>342</v>
      </c>
      <c r="F636" s="276" t="s">
        <v>157</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318"/>
      <c r="E637" s="318"/>
      <c r="F637" s="277"/>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89"/>
      <c r="E638" s="289"/>
      <c r="F638" s="290"/>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26" t="s">
        <v>358</v>
      </c>
      <c r="E639" s="326" t="s">
        <v>597</v>
      </c>
      <c r="F639" s="327" t="s">
        <v>359</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26"/>
      <c r="E640" s="326"/>
      <c r="F640" s="327"/>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26"/>
      <c r="E641" s="326"/>
      <c r="F641" s="327"/>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594</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48639247.99</v>
      </c>
    </row>
    <row r="643" spans="2:35" ht="18">
      <c r="B643" s="18"/>
      <c r="D643" s="274" t="s">
        <v>219</v>
      </c>
      <c r="E643" s="324" t="s">
        <v>140</v>
      </c>
      <c r="F643" s="276" t="s">
        <v>220</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318"/>
      <c r="E644" s="328"/>
      <c r="F644" s="277"/>
      <c r="G644" s="201" t="s">
        <v>426</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318"/>
      <c r="E645" s="328"/>
      <c r="F645" s="277"/>
      <c r="G645" s="96" t="s">
        <v>427</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89"/>
      <c r="E646" s="325"/>
      <c r="F646" s="290"/>
      <c r="G646" s="96" t="s">
        <v>600</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91" t="s">
        <v>222</v>
      </c>
      <c r="E647" s="291" t="s">
        <v>143</v>
      </c>
      <c r="F647" s="276" t="s">
        <v>605</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92"/>
      <c r="E648" s="292"/>
      <c r="F648" s="277"/>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92"/>
      <c r="E649" s="292"/>
      <c r="F649" s="277"/>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92"/>
      <c r="E650" s="292"/>
      <c r="F650" s="277"/>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92"/>
      <c r="E651" s="292"/>
      <c r="F651" s="277"/>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92"/>
      <c r="E652" s="292"/>
      <c r="F652" s="277"/>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91" t="s">
        <v>223</v>
      </c>
      <c r="E653" s="291" t="s">
        <v>145</v>
      </c>
      <c r="F653" s="276" t="s">
        <v>144</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92"/>
      <c r="E654" s="292"/>
      <c r="F654" s="277"/>
      <c r="G654" s="110" t="s">
        <v>745</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92"/>
      <c r="E655" s="292"/>
      <c r="F655" s="277"/>
      <c r="G655" s="96" t="s">
        <v>746</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92"/>
      <c r="E656" s="292"/>
      <c r="F656" s="277"/>
      <c r="G656" s="96" t="s">
        <v>747</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92"/>
      <c r="E657" s="292"/>
      <c r="F657" s="277"/>
      <c r="G657" s="110" t="s">
        <v>481</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80" t="s">
        <v>224</v>
      </c>
      <c r="E658" s="280" t="s">
        <v>347</v>
      </c>
      <c r="F658" s="278" t="s">
        <v>215</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281"/>
      <c r="E659" s="281"/>
      <c r="F659" s="279"/>
      <c r="G659" s="96" t="s">
        <v>493</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74" t="s">
        <v>11</v>
      </c>
      <c r="E660" s="274" t="s">
        <v>599</v>
      </c>
      <c r="F660" s="276" t="s">
        <v>194</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89"/>
      <c r="E661" s="289"/>
      <c r="F661" s="277"/>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91" t="s">
        <v>613</v>
      </c>
      <c r="E662" s="291" t="s">
        <v>303</v>
      </c>
      <c r="F662" s="276" t="s">
        <v>601</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92"/>
      <c r="E663" s="292"/>
      <c r="F663" s="277"/>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92"/>
      <c r="E664" s="292"/>
      <c r="F664" s="277"/>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92"/>
      <c r="E665" s="292"/>
      <c r="F665" s="277"/>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323"/>
      <c r="E666" s="323"/>
      <c r="F666" s="290"/>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91" t="s">
        <v>350</v>
      </c>
      <c r="E667" s="291" t="s">
        <v>352</v>
      </c>
      <c r="F667" s="276" t="s">
        <v>354</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92"/>
      <c r="E668" s="292"/>
      <c r="F668" s="277"/>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92"/>
      <c r="E669" s="292"/>
      <c r="F669" s="277"/>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323"/>
      <c r="E670" s="323"/>
      <c r="F670" s="290"/>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91" t="s">
        <v>137</v>
      </c>
      <c r="E671" s="291" t="s">
        <v>138</v>
      </c>
      <c r="F671" s="276" t="s">
        <v>356</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472231.38</v>
      </c>
    </row>
    <row r="672" spans="2:35" ht="97.5" customHeight="1">
      <c r="B672" s="18"/>
      <c r="C672" s="18"/>
      <c r="D672" s="292"/>
      <c r="E672" s="292"/>
      <c r="F672" s="277"/>
      <c r="G672" s="143" t="s">
        <v>482</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92"/>
      <c r="E673" s="292"/>
      <c r="F673" s="277"/>
      <c r="G673" s="143" t="s">
        <v>483</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92"/>
      <c r="E674" s="292"/>
      <c r="F674" s="277"/>
      <c r="G674" s="143" t="s">
        <v>484</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row>
    <row r="675" spans="1:35" s="40" customFormat="1" ht="72">
      <c r="A675" s="41"/>
      <c r="B675" s="18"/>
      <c r="C675" s="18"/>
      <c r="D675" s="292"/>
      <c r="E675" s="292"/>
      <c r="F675" s="277"/>
      <c r="G675" s="143" t="s">
        <v>485</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92"/>
      <c r="E676" s="292"/>
      <c r="F676" s="277"/>
      <c r="G676" s="143" t="s">
        <v>742</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f>
        <v>28966.5</v>
      </c>
    </row>
    <row r="677" spans="1:35" s="40" customFormat="1" ht="54">
      <c r="A677" s="41"/>
      <c r="B677" s="18"/>
      <c r="C677" s="18"/>
      <c r="D677" s="292"/>
      <c r="E677" s="292"/>
      <c r="F677" s="277"/>
      <c r="G677" s="96" t="s">
        <v>0</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f>
        <v>2319.84</v>
      </c>
    </row>
    <row r="678" spans="1:35" s="40" customFormat="1" ht="54">
      <c r="A678" s="41"/>
      <c r="B678" s="18"/>
      <c r="C678" s="18"/>
      <c r="D678" s="292"/>
      <c r="E678" s="292"/>
      <c r="F678" s="277"/>
      <c r="G678" s="96" t="s">
        <v>825</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f>
        <v>41284.16</v>
      </c>
    </row>
    <row r="679" spans="1:35" s="40" customFormat="1" ht="54">
      <c r="A679" s="41"/>
      <c r="B679" s="18"/>
      <c r="C679" s="18"/>
      <c r="D679" s="292"/>
      <c r="E679" s="292"/>
      <c r="F679" s="277"/>
      <c r="G679" s="96" t="s">
        <v>826</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92"/>
      <c r="E680" s="292"/>
      <c r="F680" s="277"/>
      <c r="G680" s="143" t="s">
        <v>827</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92"/>
      <c r="E681" s="292"/>
      <c r="F681" s="277"/>
      <c r="G681" s="143" t="s">
        <v>841</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row>
    <row r="682" spans="1:35" s="40" customFormat="1" ht="36">
      <c r="A682" s="41"/>
      <c r="B682" s="18"/>
      <c r="C682" s="18"/>
      <c r="D682" s="292"/>
      <c r="E682" s="292"/>
      <c r="F682" s="277"/>
      <c r="G682" s="143" t="s">
        <v>842</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92"/>
      <c r="E683" s="292"/>
      <c r="F683" s="277"/>
      <c r="G683" s="143" t="s">
        <v>581</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v>145000</v>
      </c>
      <c r="AF683" s="43">
        <v>118076.38</v>
      </c>
      <c r="AG683" s="43">
        <f>420000</f>
        <v>420000</v>
      </c>
      <c r="AH683" s="43"/>
      <c r="AI683" s="43"/>
    </row>
    <row r="684" spans="1:35" s="40" customFormat="1" ht="36">
      <c r="A684" s="41"/>
      <c r="B684" s="18"/>
      <c r="C684" s="18"/>
      <c r="D684" s="292"/>
      <c r="E684" s="292"/>
      <c r="F684" s="277"/>
      <c r="G684" s="143" t="s">
        <v>582</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v>70000</v>
      </c>
      <c r="AF684" s="43">
        <v>70000</v>
      </c>
      <c r="AG684" s="43"/>
      <c r="AH684" s="43"/>
      <c r="AI684" s="43">
        <v>60000</v>
      </c>
    </row>
    <row r="685" spans="1:35" s="40" customFormat="1" ht="54">
      <c r="A685" s="41"/>
      <c r="B685" s="18"/>
      <c r="C685" s="18"/>
      <c r="D685" s="292"/>
      <c r="E685" s="292"/>
      <c r="F685" s="277"/>
      <c r="G685" s="143" t="s">
        <v>584</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92"/>
      <c r="E686" s="292"/>
      <c r="F686" s="277"/>
      <c r="G686" s="110" t="s">
        <v>585</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92"/>
      <c r="E687" s="292"/>
      <c r="F687" s="277"/>
      <c r="G687" s="110" t="s">
        <v>234</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92"/>
      <c r="E688" s="292"/>
      <c r="F688" s="277"/>
      <c r="G688" s="96" t="s">
        <v>235</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f>
        <v>137499.47999999998</v>
      </c>
    </row>
    <row r="689" spans="2:35" ht="60.75" customHeight="1">
      <c r="B689" s="5"/>
      <c r="C689" s="5"/>
      <c r="D689" s="292"/>
      <c r="E689" s="292"/>
      <c r="F689" s="277"/>
      <c r="G689" s="284" t="s">
        <v>32</v>
      </c>
      <c r="H689" s="213"/>
      <c r="I689" s="125"/>
      <c r="J689" s="214"/>
      <c r="K689" s="130"/>
      <c r="L689" s="130"/>
      <c r="M689" s="130"/>
      <c r="N689" s="286">
        <v>3210</v>
      </c>
      <c r="O689" s="288"/>
      <c r="P689" s="288"/>
      <c r="Q689" s="282">
        <v>1050000</v>
      </c>
      <c r="R689" s="282">
        <v>1300000</v>
      </c>
      <c r="S689" s="282"/>
      <c r="T689" s="282"/>
      <c r="U689" s="282"/>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92"/>
      <c r="E690" s="292"/>
      <c r="F690" s="277"/>
      <c r="G690" s="285"/>
      <c r="H690" s="213"/>
      <c r="I690" s="125"/>
      <c r="J690" s="214"/>
      <c r="K690" s="130"/>
      <c r="L690" s="130"/>
      <c r="M690" s="130"/>
      <c r="N690" s="287"/>
      <c r="O690" s="275"/>
      <c r="P690" s="275"/>
      <c r="Q690" s="283"/>
      <c r="R690" s="283"/>
      <c r="S690" s="283"/>
      <c r="T690" s="283"/>
      <c r="U690" s="283"/>
      <c r="V690" s="54">
        <v>1300000</v>
      </c>
      <c r="W690" s="268"/>
      <c r="X690" s="268"/>
      <c r="Y690" s="268"/>
      <c r="Z690" s="268"/>
      <c r="AA690" s="268"/>
      <c r="AB690" s="268"/>
      <c r="AC690" s="268">
        <v>100000</v>
      </c>
      <c r="AD690" s="268">
        <v>240000</v>
      </c>
      <c r="AE690" s="268">
        <v>240000</v>
      </c>
      <c r="AF690" s="268">
        <v>240000</v>
      </c>
      <c r="AG690" s="268">
        <v>240000</v>
      </c>
      <c r="AH690" s="268">
        <v>240000</v>
      </c>
      <c r="AI690" s="268"/>
    </row>
    <row r="691" spans="2:35" ht="36">
      <c r="B691" s="5"/>
      <c r="C691" s="5"/>
      <c r="D691" s="292"/>
      <c r="E691" s="292"/>
      <c r="F691" s="277"/>
      <c r="G691" s="143" t="s">
        <v>236</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91" t="s">
        <v>227</v>
      </c>
      <c r="E692" s="291" t="s">
        <v>145</v>
      </c>
      <c r="F692" s="276" t="s">
        <v>357</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92"/>
      <c r="E693" s="292"/>
      <c r="F693" s="277"/>
      <c r="G693" s="110" t="s">
        <v>106</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92"/>
      <c r="E694" s="292"/>
      <c r="F694" s="277"/>
      <c r="G694" s="216" t="s">
        <v>843</v>
      </c>
      <c r="H694" s="213"/>
      <c r="I694" s="125"/>
      <c r="J694" s="214"/>
      <c r="K694" s="130"/>
      <c r="L694" s="130"/>
      <c r="M694" s="130"/>
      <c r="N694" s="93">
        <v>3210</v>
      </c>
      <c r="O694" s="215"/>
      <c r="P694" s="215"/>
      <c r="Q694" s="54">
        <v>200000</v>
      </c>
      <c r="R694" s="54" t="s">
        <v>411</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91" t="s">
        <v>107</v>
      </c>
      <c r="E695" s="274" t="s">
        <v>108</v>
      </c>
      <c r="F695" s="276" t="s">
        <v>109</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323"/>
      <c r="E696" s="289"/>
      <c r="F696" s="290"/>
      <c r="G696" s="96" t="s">
        <v>110</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91" t="s">
        <v>592</v>
      </c>
      <c r="E697" s="291" t="s">
        <v>389</v>
      </c>
      <c r="F697" s="276" t="s">
        <v>402</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44235078.9</v>
      </c>
    </row>
    <row r="698" spans="2:35" ht="95.25" customHeight="1">
      <c r="B698" s="18"/>
      <c r="C698" s="18"/>
      <c r="D698" s="292"/>
      <c r="E698" s="292"/>
      <c r="F698" s="277"/>
      <c r="G698" s="96" t="s">
        <v>149</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92"/>
      <c r="E699" s="292"/>
      <c r="F699" s="277"/>
      <c r="G699" s="148" t="s">
        <v>665</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92"/>
      <c r="E700" s="292"/>
      <c r="F700" s="277"/>
      <c r="G700" s="148" t="s">
        <v>666</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92"/>
      <c r="E701" s="292"/>
      <c r="F701" s="277"/>
      <c r="G701" s="148" t="s">
        <v>436</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92"/>
      <c r="E702" s="292"/>
      <c r="F702" s="277"/>
      <c r="G702" s="148" t="s">
        <v>89</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92"/>
      <c r="E703" s="292"/>
      <c r="F703" s="277"/>
      <c r="G703" s="148" t="s">
        <v>90</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f>
        <v>422921.55</v>
      </c>
    </row>
    <row r="704" spans="2:35" ht="54">
      <c r="B704" s="18"/>
      <c r="C704" s="18"/>
      <c r="D704" s="292"/>
      <c r="E704" s="292"/>
      <c r="F704" s="277"/>
      <c r="G704" s="148" t="s">
        <v>91</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92"/>
      <c r="E705" s="292"/>
      <c r="F705" s="277"/>
      <c r="G705" s="148" t="s">
        <v>76</v>
      </c>
      <c r="H705" s="217"/>
      <c r="I705" s="94"/>
      <c r="J705" s="212"/>
      <c r="K705" s="54"/>
      <c r="L705" s="54"/>
      <c r="M705" s="43"/>
      <c r="N705" s="93">
        <v>3132</v>
      </c>
      <c r="O705" s="54"/>
      <c r="P705" s="212"/>
      <c r="Q705" s="43">
        <v>850000</v>
      </c>
      <c r="R705" s="43"/>
      <c r="S705" s="259" t="s">
        <v>77</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92"/>
      <c r="E706" s="292"/>
      <c r="F706" s="277"/>
      <c r="G706" s="148" t="s">
        <v>92</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92"/>
      <c r="E707" s="292"/>
      <c r="F707" s="277"/>
      <c r="G707" s="148" t="s">
        <v>708</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92"/>
      <c r="E708" s="292"/>
      <c r="F708" s="277"/>
      <c r="G708" s="148" t="s">
        <v>709</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92"/>
      <c r="E709" s="292"/>
      <c r="F709" s="277"/>
      <c r="G709" s="148" t="s">
        <v>710</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92"/>
      <c r="E710" s="292"/>
      <c r="F710" s="277"/>
      <c r="G710" s="148" t="s">
        <v>4</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92"/>
      <c r="E711" s="292"/>
      <c r="F711" s="277"/>
      <c r="G711" s="148" t="s">
        <v>71</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92"/>
      <c r="E712" s="292"/>
      <c r="F712" s="277"/>
      <c r="G712" s="96" t="s">
        <v>711</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92"/>
      <c r="E713" s="292"/>
      <c r="F713" s="277"/>
      <c r="G713" s="148" t="s">
        <v>712</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92"/>
      <c r="E714" s="292"/>
      <c r="F714" s="277"/>
      <c r="G714" s="96" t="s">
        <v>713</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92"/>
      <c r="E715" s="292"/>
      <c r="F715" s="277"/>
      <c r="G715" s="96" t="s">
        <v>398</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92"/>
      <c r="E716" s="292"/>
      <c r="F716" s="277"/>
      <c r="G716" s="96" t="s">
        <v>759</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92"/>
      <c r="E717" s="292"/>
      <c r="F717" s="277"/>
      <c r="G717" s="96" t="s">
        <v>393</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92"/>
      <c r="E718" s="292"/>
      <c r="F718" s="277"/>
      <c r="G718" s="96" t="s">
        <v>394</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92"/>
      <c r="E719" s="292"/>
      <c r="F719" s="277"/>
      <c r="G719" s="96" t="s">
        <v>395</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92"/>
      <c r="E720" s="292"/>
      <c r="F720" s="277"/>
      <c r="G720" s="96" t="s">
        <v>203</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92"/>
      <c r="E721" s="292"/>
      <c r="F721" s="277"/>
      <c r="G721" s="148" t="s">
        <v>437</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92"/>
      <c r="E722" s="292"/>
      <c r="F722" s="277"/>
      <c r="G722" s="148" t="s">
        <v>438</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92"/>
      <c r="E723" s="292"/>
      <c r="F723" s="277"/>
      <c r="G723" s="148" t="s">
        <v>439</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92"/>
      <c r="E724" s="292"/>
      <c r="F724" s="277"/>
      <c r="G724" s="148" t="s">
        <v>741</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92"/>
      <c r="E725" s="292"/>
      <c r="F725" s="277"/>
      <c r="G725" s="148" t="s">
        <v>440</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92"/>
      <c r="E726" s="292"/>
      <c r="F726" s="277"/>
      <c r="G726" s="96" t="s">
        <v>441</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92"/>
      <c r="E727" s="292"/>
      <c r="F727" s="277"/>
      <c r="G727" s="96" t="s">
        <v>515</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92"/>
      <c r="E728" s="292"/>
      <c r="F728" s="277"/>
      <c r="G728" s="96" t="s">
        <v>432</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f>
        <v>3411622.61</v>
      </c>
    </row>
    <row r="729" spans="2:35" ht="39.75" customHeight="1">
      <c r="B729" s="18"/>
      <c r="C729" s="18"/>
      <c r="D729" s="292"/>
      <c r="E729" s="292"/>
      <c r="F729" s="277"/>
      <c r="G729" s="96" t="s">
        <v>150</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92"/>
      <c r="E730" s="292"/>
      <c r="F730" s="277"/>
      <c r="G730" s="96" t="s">
        <v>442</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92"/>
      <c r="E731" s="292"/>
      <c r="F731" s="277"/>
      <c r="G731" s="96" t="s">
        <v>470</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92"/>
      <c r="E732" s="292"/>
      <c r="F732" s="277"/>
      <c r="G732" s="96" t="s">
        <v>61</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92"/>
      <c r="E733" s="292"/>
      <c r="F733" s="277"/>
      <c r="G733" s="96" t="s">
        <v>62</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92"/>
      <c r="E734" s="292"/>
      <c r="F734" s="277"/>
      <c r="G734" s="96" t="s">
        <v>151</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92"/>
      <c r="E735" s="292"/>
      <c r="F735" s="277"/>
      <c r="G735" s="96" t="s">
        <v>444</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292"/>
      <c r="E736" s="292"/>
      <c r="F736" s="277"/>
      <c r="G736" s="96" t="s">
        <v>317</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92"/>
      <c r="E737" s="292"/>
      <c r="F737" s="277"/>
      <c r="G737" s="96" t="s">
        <v>570</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92"/>
      <c r="E738" s="292"/>
      <c r="F738" s="277"/>
      <c r="G738" s="96" t="s">
        <v>445</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f>
        <v>10812000</v>
      </c>
      <c r="AE738" s="43">
        <f>1731585.76-912200-170000+1000000-1600000-49385.76</f>
        <v>0</v>
      </c>
      <c r="AF738" s="43">
        <f>3000000-900000-2000000+2000000-2000000</f>
        <v>100000</v>
      </c>
      <c r="AG738" s="43">
        <f>3741261.78+1000000-3402400-1100000-238861.78</f>
        <v>-6.693881005048752E-10</v>
      </c>
      <c r="AH738" s="43">
        <f>3421352.46-3000000-421352.46</f>
        <v>0</v>
      </c>
      <c r="AI738" s="43">
        <f>13429+7850000+306023.62+885285.6+1757858.8+137329.67+2000000+3430424.4+44980.76+1526696.4+20069.81+1128035.73+685593.6</f>
        <v>19785727.39</v>
      </c>
    </row>
    <row r="739" spans="2:35" ht="62.25" customHeight="1">
      <c r="B739" s="18"/>
      <c r="C739" s="18"/>
      <c r="D739" s="292"/>
      <c r="E739" s="292"/>
      <c r="F739" s="277"/>
      <c r="G739" s="96" t="s">
        <v>15</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575</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158</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535</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f>
        <v>915400</v>
      </c>
      <c r="AE742" s="43">
        <f>470000+29854+49385.76</f>
        <v>549239.76</v>
      </c>
      <c r="AF742" s="43">
        <f>1000000+507000+1000000-569000.8+3000000</f>
        <v>4937999.2</v>
      </c>
      <c r="AG742" s="43">
        <f>1000000-1000000+1100000+238861.78</f>
        <v>1338861.78</v>
      </c>
      <c r="AH742" s="43">
        <f>855000+30000-885000+421352.46</f>
        <v>421352.46</v>
      </c>
      <c r="AI742" s="43"/>
    </row>
    <row r="743" spans="2:35" ht="72">
      <c r="B743" s="18"/>
      <c r="C743" s="18"/>
      <c r="D743" s="129"/>
      <c r="E743" s="129"/>
      <c r="F743" s="118"/>
      <c r="G743" s="96" t="s">
        <v>536</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480</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f>
        <v>110133</v>
      </c>
    </row>
    <row r="745" spans="2:35" ht="72">
      <c r="B745" s="18"/>
      <c r="C745" s="18"/>
      <c r="D745" s="129"/>
      <c r="E745" s="129"/>
      <c r="F745" s="118"/>
      <c r="G745" s="96" t="s">
        <v>122</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435</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5</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782</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783</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784</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80" t="s">
        <v>508</v>
      </c>
      <c r="E751" s="280" t="s">
        <v>597</v>
      </c>
      <c r="F751" s="278" t="s">
        <v>509</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3200210</v>
      </c>
    </row>
    <row r="752" spans="2:35" ht="162">
      <c r="B752" s="18"/>
      <c r="C752" s="18"/>
      <c r="D752" s="281"/>
      <c r="E752" s="281"/>
      <c r="F752" s="279"/>
      <c r="G752" s="96" t="s">
        <v>397</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f>
        <v>3200210</v>
      </c>
    </row>
    <row r="753" spans="2:35" ht="18">
      <c r="B753" s="5"/>
      <c r="C753" s="5"/>
      <c r="D753" s="322" t="s">
        <v>221</v>
      </c>
      <c r="E753" s="322" t="s">
        <v>345</v>
      </c>
      <c r="F753" s="320" t="s">
        <v>9</v>
      </c>
      <c r="G753" s="148"/>
      <c r="H753" s="63"/>
      <c r="I753" s="151"/>
      <c r="J753" s="152"/>
      <c r="K753" s="43"/>
      <c r="L753" s="43"/>
      <c r="M753" s="43"/>
      <c r="N753" s="93"/>
      <c r="O753" s="152"/>
      <c r="P753" s="152"/>
      <c r="Q753" s="210" t="e">
        <f>Q755+Q756+Q757+Q763+Q766+#REF!</f>
        <v>#REF!</v>
      </c>
      <c r="R753" s="210" t="e">
        <f>R755+R756+R757+R763+R766+#REF!</f>
        <v>#REF!</v>
      </c>
      <c r="S753" s="210">
        <f>SUM(S754:S771)</f>
        <v>150000</v>
      </c>
      <c r="T753" s="210"/>
      <c r="U753" s="210">
        <f>SUM(U754:U771)</f>
        <v>0</v>
      </c>
      <c r="V753" s="48">
        <f>V755+V756+V757+V763+V766+V754</f>
        <v>3036452</v>
      </c>
      <c r="W753" s="48">
        <f aca="true" t="shared" si="83" ref="W753:AI753">W755+W756+W757+W763+W766+W754</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424588.75</v>
      </c>
    </row>
    <row r="754" spans="1:35" s="40" customFormat="1" ht="18">
      <c r="A754" s="2"/>
      <c r="B754" s="261"/>
      <c r="C754" s="261"/>
      <c r="D754" s="322"/>
      <c r="E754" s="322"/>
      <c r="F754" s="320"/>
      <c r="G754" s="201" t="s">
        <v>56</v>
      </c>
      <c r="H754" s="43"/>
      <c r="I754" s="260"/>
      <c r="J754" s="142"/>
      <c r="K754" s="43"/>
      <c r="L754" s="43"/>
      <c r="M754" s="43"/>
      <c r="N754" s="93">
        <v>3110</v>
      </c>
      <c r="O754" s="142"/>
      <c r="P754" s="142"/>
      <c r="Q754" s="43"/>
      <c r="R754" s="43"/>
      <c r="S754" s="43">
        <v>150000</v>
      </c>
      <c r="T754" s="43"/>
      <c r="U754" s="43"/>
      <c r="V754" s="43">
        <v>150000</v>
      </c>
      <c r="W754" s="43"/>
      <c r="X754" s="43"/>
      <c r="Y754" s="43"/>
      <c r="Z754" s="43"/>
      <c r="AA754" s="43"/>
      <c r="AB754" s="43"/>
      <c r="AC754" s="43">
        <v>150000</v>
      </c>
      <c r="AD754" s="43">
        <f>150000-150000</f>
        <v>0</v>
      </c>
      <c r="AE754" s="43"/>
      <c r="AF754" s="43"/>
      <c r="AG754" s="43"/>
      <c r="AH754" s="43"/>
      <c r="AI754" s="43">
        <f>150000</f>
        <v>150000</v>
      </c>
    </row>
    <row r="755" spans="2:35" ht="117.75" customHeight="1">
      <c r="B755" s="5"/>
      <c r="C755" s="5"/>
      <c r="D755" s="322"/>
      <c r="E755" s="322"/>
      <c r="F755" s="320"/>
      <c r="G755" s="96" t="s">
        <v>824</v>
      </c>
      <c r="H755" s="66"/>
      <c r="I755" s="154"/>
      <c r="J755" s="196"/>
      <c r="K755" s="43"/>
      <c r="L755" s="43"/>
      <c r="M755" s="43"/>
      <c r="N755" s="93">
        <v>3132</v>
      </c>
      <c r="O755" s="196"/>
      <c r="P755" s="196"/>
      <c r="Q755" s="54">
        <f>1380200-1000000</f>
        <v>380200</v>
      </c>
      <c r="R755" s="54"/>
      <c r="S755" s="54"/>
      <c r="T755" s="54"/>
      <c r="U755" s="54"/>
      <c r="V755" s="54">
        <f>1380200-1000000+1018666</f>
        <v>1398866</v>
      </c>
      <c r="W755" s="43"/>
      <c r="X755" s="43"/>
      <c r="Y755" s="43"/>
      <c r="Z755" s="43">
        <v>190000</v>
      </c>
      <c r="AA755" s="43">
        <v>190200</v>
      </c>
      <c r="AB755" s="43"/>
      <c r="AC755" s="43"/>
      <c r="AD755" s="43">
        <f>500000-40000</f>
        <v>460000</v>
      </c>
      <c r="AE755" s="43">
        <v>518666</v>
      </c>
      <c r="AF755" s="43"/>
      <c r="AG755" s="43"/>
      <c r="AH755" s="43">
        <f>40000</f>
        <v>40000</v>
      </c>
      <c r="AI755" s="43">
        <f>85910.75</f>
        <v>85910.75</v>
      </c>
    </row>
    <row r="756" spans="2:35" ht="36">
      <c r="B756" s="5"/>
      <c r="C756" s="5"/>
      <c r="D756" s="322"/>
      <c r="E756" s="322"/>
      <c r="F756" s="320"/>
      <c r="G756" s="96" t="s">
        <v>558</v>
      </c>
      <c r="H756" s="63"/>
      <c r="I756" s="154"/>
      <c r="J756" s="152"/>
      <c r="K756" s="43"/>
      <c r="L756" s="43"/>
      <c r="M756" s="43"/>
      <c r="N756" s="93">
        <v>3132</v>
      </c>
      <c r="O756" s="152"/>
      <c r="P756" s="152"/>
      <c r="Q756" s="54">
        <v>70000</v>
      </c>
      <c r="R756" s="54"/>
      <c r="S756" s="54"/>
      <c r="T756" s="54"/>
      <c r="U756" s="54"/>
      <c r="V756" s="54">
        <v>70000</v>
      </c>
      <c r="W756" s="43"/>
      <c r="X756" s="43"/>
      <c r="Y756" s="43"/>
      <c r="Z756" s="43"/>
      <c r="AA756" s="43">
        <f>70000-70000</f>
        <v>0</v>
      </c>
      <c r="AB756" s="43"/>
      <c r="AC756" s="43"/>
      <c r="AD756" s="43">
        <f>40000</f>
        <v>40000</v>
      </c>
      <c r="AE756" s="43"/>
      <c r="AF756" s="43"/>
      <c r="AG756" s="43"/>
      <c r="AH756" s="43">
        <f>70000-40000</f>
        <v>30000</v>
      </c>
      <c r="AI756" s="43"/>
    </row>
    <row r="757" spans="2:35" ht="51.75">
      <c r="B757" s="5"/>
      <c r="C757" s="5"/>
      <c r="D757" s="322"/>
      <c r="E757" s="322"/>
      <c r="F757" s="320"/>
      <c r="G757" s="97" t="s">
        <v>553</v>
      </c>
      <c r="H757" s="63"/>
      <c r="I757" s="154"/>
      <c r="J757" s="152"/>
      <c r="K757" s="43"/>
      <c r="L757" s="43"/>
      <c r="M757" s="43"/>
      <c r="N757" s="93"/>
      <c r="O757" s="152"/>
      <c r="P757" s="152"/>
      <c r="Q757" s="60">
        <f>SUM(Q758:Q762)</f>
        <v>732586</v>
      </c>
      <c r="R757" s="60"/>
      <c r="S757" s="60"/>
      <c r="T757" s="60"/>
      <c r="U757" s="60"/>
      <c r="V757" s="60">
        <f>SUM(V758:V762)</f>
        <v>1067586</v>
      </c>
      <c r="W757" s="60">
        <f aca="true" t="shared" si="84" ref="W757:AI757">SUM(W758:W762)</f>
        <v>0</v>
      </c>
      <c r="X757" s="60">
        <f t="shared" si="84"/>
        <v>0</v>
      </c>
      <c r="Y757" s="60">
        <f t="shared" si="84"/>
        <v>0</v>
      </c>
      <c r="Z757" s="60">
        <f t="shared" si="84"/>
        <v>0</v>
      </c>
      <c r="AA757" s="60">
        <f t="shared" si="84"/>
        <v>0</v>
      </c>
      <c r="AB757" s="60">
        <f t="shared" si="84"/>
        <v>243000</v>
      </c>
      <c r="AC757" s="60">
        <f t="shared" si="84"/>
        <v>80000</v>
      </c>
      <c r="AD757" s="60">
        <f t="shared" si="84"/>
        <v>159794</v>
      </c>
      <c r="AE757" s="60">
        <f t="shared" si="84"/>
        <v>170000</v>
      </c>
      <c r="AF757" s="60">
        <f t="shared" si="84"/>
        <v>0</v>
      </c>
      <c r="AG757" s="60">
        <f t="shared" si="84"/>
        <v>0</v>
      </c>
      <c r="AH757" s="60">
        <f t="shared" si="84"/>
        <v>414792</v>
      </c>
      <c r="AI757" s="60">
        <f t="shared" si="84"/>
        <v>187528</v>
      </c>
    </row>
    <row r="758" spans="2:35" ht="36">
      <c r="B758" s="5"/>
      <c r="C758" s="5"/>
      <c r="D758" s="322"/>
      <c r="E758" s="322"/>
      <c r="F758" s="320"/>
      <c r="G758" s="96" t="s">
        <v>559</v>
      </c>
      <c r="H758" s="63"/>
      <c r="I758" s="154"/>
      <c r="J758" s="152"/>
      <c r="K758" s="43"/>
      <c r="L758" s="43"/>
      <c r="M758" s="43"/>
      <c r="N758" s="93">
        <v>2281</v>
      </c>
      <c r="O758" s="152"/>
      <c r="P758" s="152"/>
      <c r="Q758" s="54">
        <v>562586</v>
      </c>
      <c r="R758" s="54"/>
      <c r="S758" s="54"/>
      <c r="T758" s="54"/>
      <c r="U758" s="54"/>
      <c r="V758" s="54">
        <v>562586</v>
      </c>
      <c r="W758" s="43"/>
      <c r="X758" s="43"/>
      <c r="Y758" s="43"/>
      <c r="Z758" s="43"/>
      <c r="AA758" s="43">
        <f>159792-159792</f>
        <v>0</v>
      </c>
      <c r="AB758" s="43">
        <v>243000</v>
      </c>
      <c r="AC758" s="43"/>
      <c r="AD758" s="43">
        <v>159794</v>
      </c>
      <c r="AE758" s="43"/>
      <c r="AF758" s="43"/>
      <c r="AG758" s="43"/>
      <c r="AH758" s="43">
        <v>159792</v>
      </c>
      <c r="AI758" s="43">
        <f>187528</f>
        <v>187528</v>
      </c>
    </row>
    <row r="759" spans="2:35" ht="54">
      <c r="B759" s="18"/>
      <c r="C759" s="18"/>
      <c r="D759" s="322"/>
      <c r="E759" s="322"/>
      <c r="F759" s="320"/>
      <c r="G759" s="96" t="s">
        <v>725</v>
      </c>
      <c r="H759" s="66"/>
      <c r="I759" s="154"/>
      <c r="J759" s="196"/>
      <c r="K759" s="43"/>
      <c r="L759" s="43"/>
      <c r="M759" s="43"/>
      <c r="N759" s="93">
        <v>2281</v>
      </c>
      <c r="O759" s="196"/>
      <c r="P759" s="196"/>
      <c r="Q759" s="54">
        <v>80000</v>
      </c>
      <c r="R759" s="54"/>
      <c r="S759" s="54"/>
      <c r="T759" s="54"/>
      <c r="U759" s="54"/>
      <c r="V759" s="54">
        <v>80000</v>
      </c>
      <c r="W759" s="43"/>
      <c r="X759" s="43"/>
      <c r="Y759" s="43"/>
      <c r="Z759" s="43"/>
      <c r="AA759" s="43"/>
      <c r="AB759" s="43"/>
      <c r="AC759" s="43">
        <v>80000</v>
      </c>
      <c r="AD759" s="43"/>
      <c r="AE759" s="43"/>
      <c r="AF759" s="43"/>
      <c r="AG759" s="43"/>
      <c r="AH759" s="43"/>
      <c r="AI759" s="43"/>
    </row>
    <row r="760" spans="2:35" ht="82.5" customHeight="1">
      <c r="B760" s="18"/>
      <c r="C760" s="18"/>
      <c r="D760" s="322"/>
      <c r="E760" s="322"/>
      <c r="F760" s="320"/>
      <c r="G760" s="96" t="s">
        <v>430</v>
      </c>
      <c r="H760" s="66"/>
      <c r="I760" s="154"/>
      <c r="J760" s="196"/>
      <c r="K760" s="43"/>
      <c r="L760" s="43"/>
      <c r="M760" s="43"/>
      <c r="N760" s="93">
        <v>2281</v>
      </c>
      <c r="O760" s="196"/>
      <c r="P760" s="196"/>
      <c r="Q760" s="54"/>
      <c r="R760" s="54"/>
      <c r="S760" s="54"/>
      <c r="T760" s="54">
        <v>155000</v>
      </c>
      <c r="U760" s="54"/>
      <c r="V760" s="54">
        <v>155000</v>
      </c>
      <c r="W760" s="43"/>
      <c r="X760" s="43"/>
      <c r="Y760" s="43"/>
      <c r="Z760" s="43"/>
      <c r="AA760" s="43"/>
      <c r="AB760" s="43"/>
      <c r="AC760" s="43"/>
      <c r="AD760" s="43"/>
      <c r="AE760" s="43"/>
      <c r="AF760" s="43"/>
      <c r="AG760" s="43"/>
      <c r="AH760" s="43">
        <v>155000</v>
      </c>
      <c r="AI760" s="43"/>
    </row>
    <row r="761" spans="2:35" ht="54">
      <c r="B761" s="18"/>
      <c r="C761" s="18"/>
      <c r="D761" s="322"/>
      <c r="E761" s="322"/>
      <c r="F761" s="320"/>
      <c r="G761" s="96" t="s">
        <v>469</v>
      </c>
      <c r="H761" s="66"/>
      <c r="I761" s="154"/>
      <c r="J761" s="196"/>
      <c r="K761" s="43"/>
      <c r="L761" s="43"/>
      <c r="M761" s="43"/>
      <c r="N761" s="93">
        <v>2281</v>
      </c>
      <c r="O761" s="196"/>
      <c r="P761" s="196"/>
      <c r="Q761" s="54"/>
      <c r="R761" s="54"/>
      <c r="S761" s="54"/>
      <c r="T761" s="54">
        <v>180000</v>
      </c>
      <c r="U761" s="54"/>
      <c r="V761" s="54">
        <v>180000</v>
      </c>
      <c r="W761" s="43"/>
      <c r="X761" s="43"/>
      <c r="Y761" s="43"/>
      <c r="Z761" s="43"/>
      <c r="AA761" s="43"/>
      <c r="AB761" s="43"/>
      <c r="AC761" s="43"/>
      <c r="AD761" s="43"/>
      <c r="AE761" s="43">
        <v>80000</v>
      </c>
      <c r="AF761" s="43"/>
      <c r="AG761" s="43"/>
      <c r="AH761" s="43">
        <v>100000</v>
      </c>
      <c r="AI761" s="43"/>
    </row>
    <row r="762" spans="2:35" ht="54">
      <c r="B762" s="18"/>
      <c r="C762" s="18"/>
      <c r="D762" s="322"/>
      <c r="E762" s="322"/>
      <c r="F762" s="320"/>
      <c r="G762" s="96" t="s">
        <v>72</v>
      </c>
      <c r="H762" s="66"/>
      <c r="I762" s="154"/>
      <c r="J762" s="196"/>
      <c r="K762" s="43"/>
      <c r="L762" s="43"/>
      <c r="M762" s="43"/>
      <c r="N762" s="93">
        <v>2281</v>
      </c>
      <c r="O762" s="196"/>
      <c r="P762" s="196"/>
      <c r="Q762" s="54">
        <v>90000</v>
      </c>
      <c r="R762" s="54"/>
      <c r="S762" s="54"/>
      <c r="T762" s="54"/>
      <c r="U762" s="54"/>
      <c r="V762" s="54">
        <v>90000</v>
      </c>
      <c r="W762" s="43"/>
      <c r="X762" s="43"/>
      <c r="Y762" s="43"/>
      <c r="Z762" s="43"/>
      <c r="AA762" s="43"/>
      <c r="AB762" s="43"/>
      <c r="AC762" s="43"/>
      <c r="AD762" s="43"/>
      <c r="AE762" s="43">
        <v>90000</v>
      </c>
      <c r="AF762" s="43"/>
      <c r="AG762" s="43"/>
      <c r="AH762" s="43"/>
      <c r="AI762" s="43"/>
    </row>
    <row r="763" spans="2:35" ht="51.75">
      <c r="B763" s="18"/>
      <c r="C763" s="18"/>
      <c r="D763" s="322"/>
      <c r="E763" s="322"/>
      <c r="F763" s="320"/>
      <c r="G763" s="97" t="s">
        <v>375</v>
      </c>
      <c r="H763" s="66"/>
      <c r="I763" s="154"/>
      <c r="J763" s="196"/>
      <c r="K763" s="43"/>
      <c r="L763" s="43"/>
      <c r="M763" s="43"/>
      <c r="N763" s="93"/>
      <c r="O763" s="196"/>
      <c r="P763" s="196"/>
      <c r="Q763" s="60">
        <f>SUM(Q764:Q765)</f>
        <v>240000</v>
      </c>
      <c r="R763" s="60"/>
      <c r="S763" s="60"/>
      <c r="T763" s="60"/>
      <c r="U763" s="60"/>
      <c r="V763" s="60">
        <f>SUM(V764:V765)</f>
        <v>58000</v>
      </c>
      <c r="W763" s="60">
        <f aca="true" t="shared" si="85" ref="W763:AI763">SUM(W764:W765)</f>
        <v>0</v>
      </c>
      <c r="X763" s="60">
        <f t="shared" si="85"/>
        <v>0</v>
      </c>
      <c r="Y763" s="60">
        <f t="shared" si="85"/>
        <v>0</v>
      </c>
      <c r="Z763" s="60">
        <f t="shared" si="85"/>
        <v>26000</v>
      </c>
      <c r="AA763" s="60">
        <f t="shared" si="85"/>
        <v>-24850</v>
      </c>
      <c r="AB763" s="60">
        <f t="shared" si="85"/>
        <v>24850</v>
      </c>
      <c r="AC763" s="60">
        <f t="shared" si="85"/>
        <v>27000</v>
      </c>
      <c r="AD763" s="60">
        <f t="shared" si="85"/>
        <v>2000</v>
      </c>
      <c r="AE763" s="60">
        <f t="shared" si="85"/>
        <v>3000</v>
      </c>
      <c r="AF763" s="60">
        <f t="shared" si="85"/>
        <v>0</v>
      </c>
      <c r="AG763" s="60">
        <f t="shared" si="85"/>
        <v>0</v>
      </c>
      <c r="AH763" s="60">
        <f t="shared" si="85"/>
        <v>0</v>
      </c>
      <c r="AI763" s="60">
        <f t="shared" si="85"/>
        <v>1150</v>
      </c>
    </row>
    <row r="764" spans="2:35" ht="36">
      <c r="B764" s="18"/>
      <c r="C764" s="18"/>
      <c r="D764" s="322"/>
      <c r="E764" s="322"/>
      <c r="F764" s="320"/>
      <c r="G764" s="96" t="s">
        <v>93</v>
      </c>
      <c r="H764" s="66"/>
      <c r="I764" s="154"/>
      <c r="J764" s="196"/>
      <c r="K764" s="43"/>
      <c r="L764" s="43"/>
      <c r="M764" s="43"/>
      <c r="N764" s="93">
        <v>2281</v>
      </c>
      <c r="O764" s="196"/>
      <c r="P764" s="196"/>
      <c r="Q764" s="54">
        <v>75000</v>
      </c>
      <c r="R764" s="54"/>
      <c r="S764" s="54"/>
      <c r="T764" s="54"/>
      <c r="U764" s="54"/>
      <c r="V764" s="54">
        <f>75000-46000</f>
        <v>29000</v>
      </c>
      <c r="W764" s="43"/>
      <c r="X764" s="43"/>
      <c r="Y764" s="43"/>
      <c r="Z764" s="43">
        <v>8000</v>
      </c>
      <c r="AA764" s="43">
        <f>8000-16000+1150</f>
        <v>-6850</v>
      </c>
      <c r="AB764" s="43">
        <f>8000-1150</f>
        <v>6850</v>
      </c>
      <c r="AC764" s="43">
        <v>9000</v>
      </c>
      <c r="AD764" s="43">
        <v>9000</v>
      </c>
      <c r="AE764" s="43">
        <f>9000-6000</f>
        <v>3000</v>
      </c>
      <c r="AF764" s="43">
        <f>9000-9000</f>
        <v>0</v>
      </c>
      <c r="AG764" s="43">
        <f>9000-9000</f>
        <v>0</v>
      </c>
      <c r="AH764" s="43">
        <f>6000+16000-22000</f>
        <v>0</v>
      </c>
      <c r="AI764" s="43">
        <f>1150</f>
        <v>1150</v>
      </c>
    </row>
    <row r="765" spans="2:35" ht="36">
      <c r="B765" s="18"/>
      <c r="C765" s="18"/>
      <c r="D765" s="322"/>
      <c r="E765" s="322"/>
      <c r="F765" s="320"/>
      <c r="G765" s="96" t="s">
        <v>99</v>
      </c>
      <c r="H765" s="62"/>
      <c r="I765" s="222"/>
      <c r="J765" s="204"/>
      <c r="K765" s="43"/>
      <c r="L765" s="43"/>
      <c r="M765" s="43"/>
      <c r="N765" s="93">
        <v>2281</v>
      </c>
      <c r="O765" s="204"/>
      <c r="P765" s="204"/>
      <c r="Q765" s="54">
        <v>165000</v>
      </c>
      <c r="R765" s="54"/>
      <c r="S765" s="54"/>
      <c r="T765" s="54"/>
      <c r="U765" s="54"/>
      <c r="V765" s="54">
        <f>165000-136000</f>
        <v>29000</v>
      </c>
      <c r="W765" s="43"/>
      <c r="X765" s="43"/>
      <c r="Y765" s="43"/>
      <c r="Z765" s="43">
        <v>18000</v>
      </c>
      <c r="AA765" s="43">
        <f>18000-36000</f>
        <v>-18000</v>
      </c>
      <c r="AB765" s="43">
        <v>18000</v>
      </c>
      <c r="AC765" s="43">
        <v>18000</v>
      </c>
      <c r="AD765" s="43">
        <f>18000-25000</f>
        <v>-7000</v>
      </c>
      <c r="AE765" s="43">
        <f>18000-18000</f>
        <v>0</v>
      </c>
      <c r="AF765" s="43">
        <f>18000-18000</f>
        <v>0</v>
      </c>
      <c r="AG765" s="43">
        <f>18000-18000</f>
        <v>0</v>
      </c>
      <c r="AH765" s="43">
        <f>21000+36000-57000</f>
        <v>0</v>
      </c>
      <c r="AI765" s="43"/>
    </row>
    <row r="766" spans="2:35" ht="51.75">
      <c r="B766" s="18"/>
      <c r="C766" s="18"/>
      <c r="D766" s="322"/>
      <c r="E766" s="322"/>
      <c r="F766" s="320"/>
      <c r="G766" s="97" t="s">
        <v>376</v>
      </c>
      <c r="H766" s="63"/>
      <c r="I766" s="154"/>
      <c r="J766" s="152"/>
      <c r="K766" s="43"/>
      <c r="L766" s="43"/>
      <c r="M766" s="43"/>
      <c r="N766" s="93"/>
      <c r="O766" s="152"/>
      <c r="P766" s="152"/>
      <c r="Q766" s="60">
        <f>SUM(Q767:Q770)</f>
        <v>357000</v>
      </c>
      <c r="R766" s="60"/>
      <c r="S766" s="60"/>
      <c r="T766" s="60"/>
      <c r="U766" s="60"/>
      <c r="V766" s="60">
        <f>SUM(V767:V771)</f>
        <v>292000</v>
      </c>
      <c r="W766" s="60">
        <f aca="true" t="shared" si="86" ref="W766:AI766">SUM(W767:W771)</f>
        <v>0</v>
      </c>
      <c r="X766" s="60">
        <f t="shared" si="86"/>
        <v>0</v>
      </c>
      <c r="Y766" s="60">
        <f t="shared" si="86"/>
        <v>0</v>
      </c>
      <c r="Z766" s="60">
        <f t="shared" si="86"/>
        <v>130000</v>
      </c>
      <c r="AA766" s="60">
        <f t="shared" si="86"/>
        <v>-130000</v>
      </c>
      <c r="AB766" s="60">
        <f t="shared" si="86"/>
        <v>192000</v>
      </c>
      <c r="AC766" s="60">
        <f t="shared" si="86"/>
        <v>-150000</v>
      </c>
      <c r="AD766" s="60">
        <f t="shared" si="86"/>
        <v>150000</v>
      </c>
      <c r="AE766" s="60">
        <f t="shared" si="86"/>
        <v>0</v>
      </c>
      <c r="AF766" s="60">
        <f t="shared" si="86"/>
        <v>0</v>
      </c>
      <c r="AG766" s="60">
        <f t="shared" si="86"/>
        <v>0</v>
      </c>
      <c r="AH766" s="60">
        <f t="shared" si="86"/>
        <v>100000</v>
      </c>
      <c r="AI766" s="60">
        <f t="shared" si="86"/>
        <v>0</v>
      </c>
    </row>
    <row r="767" spans="2:35" ht="36">
      <c r="B767" s="5"/>
      <c r="C767" s="5"/>
      <c r="D767" s="322"/>
      <c r="E767" s="322"/>
      <c r="F767" s="320"/>
      <c r="G767" s="96" t="s">
        <v>100</v>
      </c>
      <c r="H767" s="63"/>
      <c r="I767" s="151"/>
      <c r="J767" s="152"/>
      <c r="K767" s="43"/>
      <c r="L767" s="43"/>
      <c r="M767" s="43"/>
      <c r="N767" s="93">
        <v>3110</v>
      </c>
      <c r="O767" s="152"/>
      <c r="P767" s="152"/>
      <c r="Q767" s="54">
        <v>40000</v>
      </c>
      <c r="R767" s="54"/>
      <c r="S767" s="54"/>
      <c r="T767" s="54"/>
      <c r="U767" s="54"/>
      <c r="V767" s="54">
        <v>40000</v>
      </c>
      <c r="W767" s="43"/>
      <c r="X767" s="43"/>
      <c r="Y767" s="43"/>
      <c r="Z767" s="44">
        <v>40000</v>
      </c>
      <c r="AA767" s="44">
        <v>-40000</v>
      </c>
      <c r="AB767" s="44"/>
      <c r="AC767" s="43"/>
      <c r="AD767" s="43"/>
      <c r="AE767" s="43"/>
      <c r="AF767" s="43"/>
      <c r="AG767" s="43"/>
      <c r="AH767" s="43">
        <v>40000</v>
      </c>
      <c r="AI767" s="43"/>
    </row>
    <row r="768" spans="2:35" ht="36">
      <c r="B768" s="5"/>
      <c r="C768" s="5"/>
      <c r="D768" s="322"/>
      <c r="E768" s="322"/>
      <c r="F768" s="320"/>
      <c r="G768" s="96" t="s">
        <v>101</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22"/>
      <c r="E769" s="322"/>
      <c r="F769" s="320"/>
      <c r="G769" s="96" t="s">
        <v>102</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22"/>
      <c r="E770" s="322"/>
      <c r="F770" s="320"/>
      <c r="G770" s="96" t="s">
        <v>103</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22"/>
      <c r="E771" s="322"/>
      <c r="F771" s="320"/>
      <c r="G771" s="96" t="s">
        <v>78</v>
      </c>
      <c r="H771" s="63"/>
      <c r="I771" s="151"/>
      <c r="J771" s="152"/>
      <c r="K771" s="43"/>
      <c r="L771" s="43"/>
      <c r="M771" s="43"/>
      <c r="N771" s="93">
        <v>3110</v>
      </c>
      <c r="O771" s="152"/>
      <c r="P771" s="152"/>
      <c r="Q771" s="54">
        <v>90000</v>
      </c>
      <c r="R771" s="54"/>
      <c r="S771" s="262" t="s">
        <v>679</v>
      </c>
      <c r="T771" s="262">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529</v>
      </c>
      <c r="D772" s="104"/>
      <c r="E772" s="105"/>
      <c r="F772" s="79" t="s">
        <v>595</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1626314.8099999998</v>
      </c>
    </row>
    <row r="773" spans="2:35" ht="18">
      <c r="B773" s="5"/>
      <c r="D773" s="274" t="s">
        <v>219</v>
      </c>
      <c r="E773" s="324" t="s">
        <v>140</v>
      </c>
      <c r="F773" s="276" t="s">
        <v>220</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318"/>
      <c r="E774" s="328"/>
      <c r="F774" s="277"/>
      <c r="G774" s="90" t="s">
        <v>727</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318"/>
      <c r="E775" s="328"/>
      <c r="F775" s="277"/>
      <c r="G775" s="90" t="s">
        <v>661</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318"/>
      <c r="E776" s="328"/>
      <c r="F776" s="277"/>
      <c r="G776" s="90" t="s">
        <v>639</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318"/>
      <c r="E777" s="328"/>
      <c r="F777" s="277"/>
      <c r="G777" s="90" t="s">
        <v>94</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91" t="s">
        <v>107</v>
      </c>
      <c r="E778" s="274" t="s">
        <v>108</v>
      </c>
      <c r="F778" s="276" t="s">
        <v>109</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92"/>
      <c r="E779" s="318"/>
      <c r="F779" s="277"/>
      <c r="G779" s="90" t="s">
        <v>293</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323"/>
      <c r="E780" s="289"/>
      <c r="F780" s="290"/>
      <c r="G780" s="90" t="s">
        <v>568</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342" t="s">
        <v>655</v>
      </c>
      <c r="E781" s="341" t="s">
        <v>138</v>
      </c>
      <c r="F781" s="339" t="s">
        <v>819</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343"/>
      <c r="E782" s="321"/>
      <c r="F782" s="340"/>
      <c r="G782" s="97" t="s">
        <v>820</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323"/>
      <c r="E783" s="289"/>
      <c r="F783" s="290"/>
      <c r="G783" s="90" t="s">
        <v>638</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322" t="s">
        <v>221</v>
      </c>
      <c r="E784" s="322" t="s">
        <v>345</v>
      </c>
      <c r="F784" s="320" t="s">
        <v>9</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1377341.8099999998</v>
      </c>
    </row>
    <row r="785" spans="2:35" ht="120.75" customHeight="1">
      <c r="B785" s="18"/>
      <c r="C785" s="18"/>
      <c r="D785" s="322"/>
      <c r="E785" s="322"/>
      <c r="F785" s="320"/>
      <c r="G785" s="90" t="s">
        <v>818</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22"/>
      <c r="E786" s="322"/>
      <c r="F786" s="320"/>
      <c r="G786" s="97" t="s">
        <v>624</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1377341.8099999998</v>
      </c>
    </row>
    <row r="787" spans="2:35" ht="54">
      <c r="B787" s="5"/>
      <c r="C787" s="5"/>
      <c r="D787" s="322"/>
      <c r="E787" s="322"/>
      <c r="F787" s="320"/>
      <c r="G787" s="216" t="s">
        <v>649</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f>
        <v>975437.8999999999</v>
      </c>
    </row>
    <row r="788" spans="2:35" ht="36" hidden="1">
      <c r="B788" s="5"/>
      <c r="C788" s="5"/>
      <c r="D788" s="322"/>
      <c r="E788" s="322"/>
      <c r="F788" s="320"/>
      <c r="G788" s="216" t="s">
        <v>569</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22"/>
      <c r="E789" s="322"/>
      <c r="F789" s="320"/>
      <c r="G789" s="216" t="s">
        <v>650</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22"/>
      <c r="E790" s="322"/>
      <c r="F790" s="320"/>
      <c r="G790" s="216" t="s">
        <v>296</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22"/>
      <c r="E791" s="322"/>
      <c r="F791" s="320"/>
      <c r="G791" s="216" t="s">
        <v>810</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22"/>
      <c r="E792" s="322"/>
      <c r="F792" s="320"/>
      <c r="G792" s="216" t="s">
        <v>671</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530</v>
      </c>
      <c r="C793" s="5"/>
      <c r="D793" s="322"/>
      <c r="E793" s="322"/>
      <c r="F793" s="320"/>
      <c r="G793" s="97" t="s">
        <v>673</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596</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319" t="s">
        <v>219</v>
      </c>
      <c r="E795" s="319" t="s">
        <v>140</v>
      </c>
      <c r="F795" s="320" t="s">
        <v>220</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319"/>
      <c r="E796" s="319"/>
      <c r="F796" s="320"/>
      <c r="G796" s="143" t="s">
        <v>514</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319" t="s">
        <v>221</v>
      </c>
      <c r="E797" s="319" t="s">
        <v>345</v>
      </c>
      <c r="F797" s="320" t="s">
        <v>9</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319"/>
      <c r="E798" s="319"/>
      <c r="F798" s="320"/>
      <c r="G798" s="143" t="s">
        <v>160</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312</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74" t="s">
        <v>391</v>
      </c>
      <c r="E800" s="274" t="s">
        <v>597</v>
      </c>
      <c r="F800" s="276" t="s">
        <v>311</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318"/>
      <c r="E801" s="318"/>
      <c r="F801" s="277"/>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74" t="s">
        <v>358</v>
      </c>
      <c r="E802" s="274" t="s">
        <v>597</v>
      </c>
      <c r="F802" s="276" t="s">
        <v>359</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89"/>
      <c r="E803" s="289"/>
      <c r="F803" s="290"/>
      <c r="G803" s="141" t="s">
        <v>431</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74" t="s">
        <v>508</v>
      </c>
      <c r="E804" s="274" t="s">
        <v>597</v>
      </c>
      <c r="F804" s="276" t="s">
        <v>509</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318"/>
      <c r="E805" s="318"/>
      <c r="F805" s="277"/>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363</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87039846.38</v>
      </c>
      <c r="AE806" s="49">
        <f t="shared" si="99"/>
        <v>35625331.3</v>
      </c>
      <c r="AF806" s="49">
        <f t="shared" si="99"/>
        <v>42989734.79</v>
      </c>
      <c r="AG806" s="49">
        <f t="shared" si="99"/>
        <v>36557270.16</v>
      </c>
      <c r="AH806" s="49">
        <f t="shared" si="99"/>
        <v>27537668.77</v>
      </c>
      <c r="AI806" s="49">
        <f t="shared" si="99"/>
        <v>190247992.11</v>
      </c>
    </row>
  </sheetData>
  <sheetProtection/>
  <mergeCells count="237">
    <mergeCell ref="F781:F783"/>
    <mergeCell ref="E781:E783"/>
    <mergeCell ref="D781:D783"/>
    <mergeCell ref="F289:F290"/>
    <mergeCell ref="D289:D290"/>
    <mergeCell ref="E289:E290"/>
    <mergeCell ref="F456:F458"/>
    <mergeCell ref="E456:E458"/>
    <mergeCell ref="D456:D458"/>
    <mergeCell ref="E459:E461"/>
    <mergeCell ref="D22:D24"/>
    <mergeCell ref="E22:E24"/>
    <mergeCell ref="F22:F24"/>
    <mergeCell ref="D40:D170"/>
    <mergeCell ref="E40:E170"/>
    <mergeCell ref="D25:D27"/>
    <mergeCell ref="F25:F27"/>
    <mergeCell ref="E25:E27"/>
    <mergeCell ref="D33:D39"/>
    <mergeCell ref="E33:E39"/>
    <mergeCell ref="E171:E269"/>
    <mergeCell ref="F171:F269"/>
    <mergeCell ref="G176:G177"/>
    <mergeCell ref="N176:N177"/>
    <mergeCell ref="V176:V177"/>
    <mergeCell ref="G401:G402"/>
    <mergeCell ref="N401:N402"/>
    <mergeCell ref="V401:V402"/>
    <mergeCell ref="F459:F461"/>
    <mergeCell ref="D459:D461"/>
    <mergeCell ref="D465:D474"/>
    <mergeCell ref="D462:D463"/>
    <mergeCell ref="E462:E463"/>
    <mergeCell ref="F462:F463"/>
    <mergeCell ref="F465:F474"/>
    <mergeCell ref="E465:E474"/>
    <mergeCell ref="D795:D796"/>
    <mergeCell ref="E795:E796"/>
    <mergeCell ref="F795:F796"/>
    <mergeCell ref="D784:D793"/>
    <mergeCell ref="E784:E793"/>
    <mergeCell ref="F784:F793"/>
    <mergeCell ref="D802:D803"/>
    <mergeCell ref="E802:E803"/>
    <mergeCell ref="F802:F803"/>
    <mergeCell ref="E797:E798"/>
    <mergeCell ref="F797:F798"/>
    <mergeCell ref="D804:D805"/>
    <mergeCell ref="E804:E805"/>
    <mergeCell ref="F804:F805"/>
    <mergeCell ref="D800:D801"/>
    <mergeCell ref="E800:E801"/>
    <mergeCell ref="F800:F801"/>
    <mergeCell ref="D797:D798"/>
    <mergeCell ref="D778:D780"/>
    <mergeCell ref="E778:E780"/>
    <mergeCell ref="F778:F780"/>
    <mergeCell ref="D753:D771"/>
    <mergeCell ref="E753:E771"/>
    <mergeCell ref="F753:F771"/>
    <mergeCell ref="D773:D777"/>
    <mergeCell ref="E773:E777"/>
    <mergeCell ref="F773:F777"/>
    <mergeCell ref="D692:D694"/>
    <mergeCell ref="E692:E694"/>
    <mergeCell ref="F692:F694"/>
    <mergeCell ref="D697:D739"/>
    <mergeCell ref="E697:E739"/>
    <mergeCell ref="F697:F739"/>
    <mergeCell ref="D695:D696"/>
    <mergeCell ref="E695:E696"/>
    <mergeCell ref="F695:F696"/>
    <mergeCell ref="D667:D670"/>
    <mergeCell ref="E667:E670"/>
    <mergeCell ref="F667:F670"/>
    <mergeCell ref="D671:D691"/>
    <mergeCell ref="E671:E691"/>
    <mergeCell ref="F671:F691"/>
    <mergeCell ref="D660:D661"/>
    <mergeCell ref="E660:E661"/>
    <mergeCell ref="F660:F661"/>
    <mergeCell ref="D662:D666"/>
    <mergeCell ref="E662:E666"/>
    <mergeCell ref="F662:F666"/>
    <mergeCell ref="D647:D652"/>
    <mergeCell ref="E647:E652"/>
    <mergeCell ref="F647:F652"/>
    <mergeCell ref="D658:D659"/>
    <mergeCell ref="E658:E659"/>
    <mergeCell ref="F658:F659"/>
    <mergeCell ref="D653:D657"/>
    <mergeCell ref="E653:E657"/>
    <mergeCell ref="F653:F657"/>
    <mergeCell ref="D639:D641"/>
    <mergeCell ref="E639:E641"/>
    <mergeCell ref="F639:F641"/>
    <mergeCell ref="D643:D646"/>
    <mergeCell ref="E643:E646"/>
    <mergeCell ref="F643:F646"/>
    <mergeCell ref="D630:D635"/>
    <mergeCell ref="E630:E635"/>
    <mergeCell ref="F630:F635"/>
    <mergeCell ref="D636:D638"/>
    <mergeCell ref="E636:E638"/>
    <mergeCell ref="F636:F638"/>
    <mergeCell ref="D558:D623"/>
    <mergeCell ref="E558:E623"/>
    <mergeCell ref="F558:F623"/>
    <mergeCell ref="D624:D629"/>
    <mergeCell ref="E624:E629"/>
    <mergeCell ref="F624:F629"/>
    <mergeCell ref="D529:D530"/>
    <mergeCell ref="E529:E530"/>
    <mergeCell ref="F529:F530"/>
    <mergeCell ref="D531:D557"/>
    <mergeCell ref="E531:E557"/>
    <mergeCell ref="F531:F557"/>
    <mergeCell ref="D518:D519"/>
    <mergeCell ref="E518:E519"/>
    <mergeCell ref="F518:F519"/>
    <mergeCell ref="D520:D528"/>
    <mergeCell ref="E520:E528"/>
    <mergeCell ref="F520:F528"/>
    <mergeCell ref="F493:F494"/>
    <mergeCell ref="D495:D517"/>
    <mergeCell ref="E495:E517"/>
    <mergeCell ref="F495:F517"/>
    <mergeCell ref="D493:D494"/>
    <mergeCell ref="E493:E494"/>
    <mergeCell ref="D424:D440"/>
    <mergeCell ref="E424:E440"/>
    <mergeCell ref="F424:F440"/>
    <mergeCell ref="D444:D455"/>
    <mergeCell ref="E444:E455"/>
    <mergeCell ref="F444:F455"/>
    <mergeCell ref="D441:D443"/>
    <mergeCell ref="E441:E443"/>
    <mergeCell ref="F441:F443"/>
    <mergeCell ref="D397:D403"/>
    <mergeCell ref="E397:E403"/>
    <mergeCell ref="F397:F403"/>
    <mergeCell ref="D404:D422"/>
    <mergeCell ref="E404:E422"/>
    <mergeCell ref="F404:F422"/>
    <mergeCell ref="D372:D380"/>
    <mergeCell ref="E372:E380"/>
    <mergeCell ref="F372:F380"/>
    <mergeCell ref="D381:D396"/>
    <mergeCell ref="E381:E396"/>
    <mergeCell ref="F381:F396"/>
    <mergeCell ref="D356:D369"/>
    <mergeCell ref="E356:E369"/>
    <mergeCell ref="F356:F369"/>
    <mergeCell ref="D370:D371"/>
    <mergeCell ref="E370:E371"/>
    <mergeCell ref="F370:F371"/>
    <mergeCell ref="D331:D353"/>
    <mergeCell ref="E331:E353"/>
    <mergeCell ref="F331:F353"/>
    <mergeCell ref="D354:D355"/>
    <mergeCell ref="E354:E355"/>
    <mergeCell ref="F354:F355"/>
    <mergeCell ref="D319:D330"/>
    <mergeCell ref="E319:E330"/>
    <mergeCell ref="F319:F330"/>
    <mergeCell ref="D308:D318"/>
    <mergeCell ref="E308:E318"/>
    <mergeCell ref="F308:F318"/>
    <mergeCell ref="D296:D300"/>
    <mergeCell ref="E296:E300"/>
    <mergeCell ref="F296:F300"/>
    <mergeCell ref="D301:D307"/>
    <mergeCell ref="E301:E307"/>
    <mergeCell ref="F301:F307"/>
    <mergeCell ref="D293:D295"/>
    <mergeCell ref="E293:E295"/>
    <mergeCell ref="F293:F295"/>
    <mergeCell ref="D171:D269"/>
    <mergeCell ref="D291:D292"/>
    <mergeCell ref="E291:E292"/>
    <mergeCell ref="F291:F292"/>
    <mergeCell ref="E270:E288"/>
    <mergeCell ref="F270:F288"/>
    <mergeCell ref="D270:D288"/>
    <mergeCell ref="AD3:AD4"/>
    <mergeCell ref="AE3:AE4"/>
    <mergeCell ref="AF3:AF4"/>
    <mergeCell ref="AG3:AG4"/>
    <mergeCell ref="AI3:AI4"/>
    <mergeCell ref="AH3:AH4"/>
    <mergeCell ref="B1:AI1"/>
    <mergeCell ref="AB3:AB4"/>
    <mergeCell ref="E6:E21"/>
    <mergeCell ref="D6:D21"/>
    <mergeCell ref="AA3:AA4"/>
    <mergeCell ref="M3:M4"/>
    <mergeCell ref="V3:V4"/>
    <mergeCell ref="Y3:Y4"/>
    <mergeCell ref="Z3:Z4"/>
    <mergeCell ref="O3:U3"/>
    <mergeCell ref="F33:F39"/>
    <mergeCell ref="D29:D31"/>
    <mergeCell ref="E29:E31"/>
    <mergeCell ref="F29:F31"/>
    <mergeCell ref="F6:F21"/>
    <mergeCell ref="I3:I4"/>
    <mergeCell ref="H3:H4"/>
    <mergeCell ref="N3:N4"/>
    <mergeCell ref="AC3:AC4"/>
    <mergeCell ref="D3:D4"/>
    <mergeCell ref="K3:K4"/>
    <mergeCell ref="W3:W4"/>
    <mergeCell ref="X3:X4"/>
    <mergeCell ref="L3:L4"/>
    <mergeCell ref="J3:J4"/>
    <mergeCell ref="F3:F4"/>
    <mergeCell ref="G3:G4"/>
    <mergeCell ref="E3:E4"/>
    <mergeCell ref="F40:F170"/>
    <mergeCell ref="F751:F752"/>
    <mergeCell ref="E751:E752"/>
    <mergeCell ref="D751:D752"/>
    <mergeCell ref="D475:D476"/>
    <mergeCell ref="E475:E476"/>
    <mergeCell ref="F475:F476"/>
    <mergeCell ref="D477:D491"/>
    <mergeCell ref="E477:E491"/>
    <mergeCell ref="F477:F491"/>
    <mergeCell ref="G689:G690"/>
    <mergeCell ref="N689:N690"/>
    <mergeCell ref="O689:O690"/>
    <mergeCell ref="P689:P690"/>
    <mergeCell ref="U689:U690"/>
    <mergeCell ref="Q689:Q690"/>
    <mergeCell ref="R689:R690"/>
    <mergeCell ref="S689:S690"/>
    <mergeCell ref="T689:T69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2016-08-29T11:14:32Z</dcterms:modified>
  <cp:category/>
  <cp:version/>
  <cp:contentType/>
  <cp:contentStatus/>
</cp:coreProperties>
</file>